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กรอบอัตรากำลัง+ปฏิรูปโครงสร้าง/กรอบอัตรากำลัง/โครงการ/แบบฟอร์มสายวิชาการ/"/>
    </mc:Choice>
  </mc:AlternateContent>
  <xr:revisionPtr revIDLastSave="0" documentId="8_{7DFB11CF-0BCE-4727-BD1A-539473EF7F3C}" xr6:coauthVersionLast="47" xr6:coauthVersionMax="47" xr10:uidLastSave="{00000000-0000-0000-0000-000000000000}"/>
  <bookViews>
    <workbookView xWindow="-120" yWindow="-120" windowWidth="21840" windowHeight="13020" tabRatio="724"/>
  </bookViews>
  <sheets>
    <sheet name="67-71 ให้คณะ" sheetId="89" r:id="rId1"/>
    <sheet name="ตัวอย่างแผนปี 64-68" sheetId="88" r:id="rId2"/>
    <sheet name="ไฟล์ต้น (แก้ไข) (ลบลูกจ้าง22)" sheetId="85" state="hidden" r:id="rId3"/>
    <sheet name="ลูกจ้างชั่วคราว" sheetId="87" state="hidden" r:id="rId4"/>
    <sheet name="ไฟล์ต้น (คณะแก้ไข) " sheetId="86" state="hidden" r:id="rId5"/>
    <sheet name="ไฟล์ต้น Final เล่ม" sheetId="81" state="hidden" r:id="rId6"/>
    <sheet name="สาธิต 1" sheetId="82" state="hidden" r:id="rId7"/>
    <sheet name="ไฟล์ต้น (2)" sheetId="80" state="hidden" r:id="rId8"/>
  </sheets>
  <definedNames>
    <definedName name="_xlnm.Print_Area" localSheetId="0">'67-71 ให้คณะ'!$A$1:$AO$128</definedName>
    <definedName name="_xlnm.Print_Area" localSheetId="1">'ตัวอย่างแผนปี 64-68'!$A$1:$AO$130</definedName>
    <definedName name="_xlnm.Print_Area" localSheetId="7">'ไฟล์ต้น (2)'!$A$1:$AO$131</definedName>
    <definedName name="_xlnm.Print_Area" localSheetId="2">'ไฟล์ต้น (แก้ไข) (ลบลูกจ้าง22)'!$A$1:$AO$130</definedName>
    <definedName name="_xlnm.Print_Area" localSheetId="4">'ไฟล์ต้น (คณะแก้ไข) '!$A$1:$AO$130</definedName>
    <definedName name="_xlnm.Print_Area" localSheetId="5">'ไฟล์ต้น Final เล่ม'!$A$1:$Y$110</definedName>
    <definedName name="_xlnm.Print_Area" localSheetId="6">'สาธิต 1'!$A$1:$X$26</definedName>
    <definedName name="_xlnm.Print_Titles" localSheetId="0">'67-71 ให้คณะ'!$1:$5</definedName>
    <definedName name="_xlnm.Print_Titles" localSheetId="1">'ตัวอย่างแผนปี 64-68'!$3:$5</definedName>
    <definedName name="_xlnm.Print_Titles" localSheetId="7">'ไฟล์ต้น (2)'!$3:$5</definedName>
    <definedName name="_xlnm.Print_Titles" localSheetId="2">'ไฟล์ต้น (แก้ไข) (ลบลูกจ้าง22)'!$3:$5</definedName>
    <definedName name="_xlnm.Print_Titles" localSheetId="4">'ไฟล์ต้น (คณะแก้ไข) '!$3:$5</definedName>
    <definedName name="_xlnm.Print_Titles" localSheetId="5">'ไฟล์ต้น Final เล่ม'!$1:$4</definedName>
    <definedName name="_xlnm.Print_Titles" localSheetId="6">'สาธิต 1'!$1:$4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3" i="89" l="1"/>
  <c r="V124" i="89"/>
  <c r="V125" i="89"/>
  <c r="V126" i="89"/>
  <c r="V127" i="89"/>
  <c r="V122" i="89"/>
  <c r="V121" i="89" s="1"/>
  <c r="V110" i="89"/>
  <c r="V111" i="89"/>
  <c r="V112" i="89"/>
  <c r="V113" i="89"/>
  <c r="V114" i="89"/>
  <c r="V115" i="89"/>
  <c r="V116" i="89"/>
  <c r="X116" i="89"/>
  <c r="V117" i="89"/>
  <c r="X117" i="89"/>
  <c r="AA117" i="89" s="1"/>
  <c r="V118" i="89"/>
  <c r="V119" i="89"/>
  <c r="V120" i="89"/>
  <c r="X120" i="89" s="1"/>
  <c r="V109" i="89"/>
  <c r="V107" i="89"/>
  <c r="V102" i="89"/>
  <c r="V103" i="89"/>
  <c r="V104" i="89"/>
  <c r="V105" i="89"/>
  <c r="X105" i="89" s="1"/>
  <c r="AA105" i="89" s="1"/>
  <c r="V101" i="89"/>
  <c r="V92" i="89"/>
  <c r="V93" i="89"/>
  <c r="V94" i="89"/>
  <c r="W94" i="89" s="1"/>
  <c r="V95" i="89"/>
  <c r="X95" i="89" s="1"/>
  <c r="V96" i="89"/>
  <c r="V97" i="89"/>
  <c r="V98" i="89"/>
  <c r="X98" i="89"/>
  <c r="V99" i="89"/>
  <c r="X99" i="89"/>
  <c r="V91" i="89"/>
  <c r="V75" i="89"/>
  <c r="V76" i="89"/>
  <c r="V77" i="89"/>
  <c r="V78" i="89"/>
  <c r="X78" i="89" s="1"/>
  <c r="V79" i="89"/>
  <c r="V80" i="89"/>
  <c r="V81" i="89"/>
  <c r="V82" i="89"/>
  <c r="X82" i="89" s="1"/>
  <c r="AA82" i="89" s="1"/>
  <c r="V83" i="89"/>
  <c r="V84" i="89"/>
  <c r="V85" i="89"/>
  <c r="V86" i="89"/>
  <c r="W86" i="89"/>
  <c r="Y86" i="89" s="1"/>
  <c r="AB86" i="89" s="1"/>
  <c r="V87" i="89"/>
  <c r="V88" i="89"/>
  <c r="V89" i="89"/>
  <c r="V74" i="89"/>
  <c r="V48" i="89"/>
  <c r="V49" i="89"/>
  <c r="V50" i="89"/>
  <c r="V51" i="89"/>
  <c r="V52" i="89"/>
  <c r="V53" i="89"/>
  <c r="V54" i="89"/>
  <c r="V55" i="89"/>
  <c r="V56" i="89"/>
  <c r="V57" i="89"/>
  <c r="V58" i="89"/>
  <c r="V59" i="89"/>
  <c r="V60" i="89"/>
  <c r="V61" i="89"/>
  <c r="V62" i="89"/>
  <c r="V63" i="89"/>
  <c r="V64" i="89"/>
  <c r="V65" i="89"/>
  <c r="V66" i="89"/>
  <c r="V67" i="89"/>
  <c r="V68" i="89"/>
  <c r="V69" i="89"/>
  <c r="V70" i="89"/>
  <c r="V71" i="89"/>
  <c r="V72" i="89"/>
  <c r="V47" i="89"/>
  <c r="V22" i="89"/>
  <c r="V23" i="89"/>
  <c r="V24" i="89"/>
  <c r="X24" i="89"/>
  <c r="V25" i="89"/>
  <c r="X25" i="89" s="1"/>
  <c r="V26" i="89"/>
  <c r="V27" i="89"/>
  <c r="V28" i="89"/>
  <c r="X28" i="89" s="1"/>
  <c r="AA28" i="89" s="1"/>
  <c r="V29" i="89"/>
  <c r="X29" i="89" s="1"/>
  <c r="AA29" i="89" s="1"/>
  <c r="V30" i="89"/>
  <c r="V31" i="89"/>
  <c r="V32" i="89"/>
  <c r="W32" i="89" s="1"/>
  <c r="Y32" i="89" s="1"/>
  <c r="AB32" i="89" s="1"/>
  <c r="V33" i="89"/>
  <c r="X33" i="89" s="1"/>
  <c r="AA33" i="89" s="1"/>
  <c r="V34" i="89"/>
  <c r="V35" i="89"/>
  <c r="V36" i="89"/>
  <c r="W36" i="89"/>
  <c r="Y36" i="89" s="1"/>
  <c r="AB36" i="89" s="1"/>
  <c r="V37" i="89"/>
  <c r="V38" i="89"/>
  <c r="V39" i="89"/>
  <c r="V40" i="89"/>
  <c r="V41" i="89"/>
  <c r="X41" i="89"/>
  <c r="AA41" i="89" s="1"/>
  <c r="V42" i="89"/>
  <c r="V43" i="89"/>
  <c r="V44" i="89"/>
  <c r="W44" i="89" s="1"/>
  <c r="Y44" i="89" s="1"/>
  <c r="V45" i="89"/>
  <c r="X45" i="89" s="1"/>
  <c r="AA45" i="89" s="1"/>
  <c r="V21" i="89"/>
  <c r="V8" i="89"/>
  <c r="V9" i="89"/>
  <c r="V10" i="89"/>
  <c r="X10" i="89" s="1"/>
  <c r="V11" i="89"/>
  <c r="X11" i="89" s="1"/>
  <c r="X6" i="89" s="1"/>
  <c r="V12" i="89"/>
  <c r="V13" i="89"/>
  <c r="V14" i="89"/>
  <c r="X14" i="89" s="1"/>
  <c r="V15" i="89"/>
  <c r="W15" i="89"/>
  <c r="Y15" i="89" s="1"/>
  <c r="V16" i="89"/>
  <c r="V17" i="89"/>
  <c r="V18" i="89"/>
  <c r="X18" i="89" s="1"/>
  <c r="AA18" i="89" s="1"/>
  <c r="V19" i="89"/>
  <c r="V7" i="89"/>
  <c r="AN128" i="89"/>
  <c r="S127" i="89"/>
  <c r="M127" i="89"/>
  <c r="S126" i="89"/>
  <c r="M126" i="89"/>
  <c r="S125" i="89"/>
  <c r="M125" i="89"/>
  <c r="S124" i="89"/>
  <c r="M124" i="89"/>
  <c r="S123" i="89"/>
  <c r="M123" i="89"/>
  <c r="M121" i="89" s="1"/>
  <c r="S122" i="89"/>
  <c r="M122" i="89"/>
  <c r="AI121" i="89"/>
  <c r="AH121" i="89"/>
  <c r="AG121" i="89"/>
  <c r="AF121" i="89"/>
  <c r="AE121" i="89"/>
  <c r="AD121" i="89"/>
  <c r="AC121" i="89"/>
  <c r="AB121" i="89"/>
  <c r="AA121" i="89"/>
  <c r="Z121" i="89"/>
  <c r="Y121" i="89"/>
  <c r="X121" i="89"/>
  <c r="W121" i="89"/>
  <c r="U121" i="89"/>
  <c r="T121" i="89"/>
  <c r="S121" i="89"/>
  <c r="R121" i="89"/>
  <c r="Q121" i="89"/>
  <c r="P121" i="89"/>
  <c r="O121" i="89"/>
  <c r="N121" i="89"/>
  <c r="L121" i="89"/>
  <c r="K121" i="89"/>
  <c r="J121" i="89"/>
  <c r="I121" i="89"/>
  <c r="H121" i="89"/>
  <c r="G121" i="89"/>
  <c r="F121" i="89"/>
  <c r="E121" i="89"/>
  <c r="D121" i="89"/>
  <c r="C121" i="89"/>
  <c r="K120" i="89"/>
  <c r="M120" i="89" s="1"/>
  <c r="X119" i="89"/>
  <c r="K119" i="89"/>
  <c r="M119" i="89" s="1"/>
  <c r="X118" i="89"/>
  <c r="AA118" i="89" s="1"/>
  <c r="M118" i="89"/>
  <c r="K118" i="89"/>
  <c r="M117" i="89"/>
  <c r="K117" i="89"/>
  <c r="K116" i="89"/>
  <c r="M116" i="89" s="1"/>
  <c r="AA116" i="89" s="1"/>
  <c r="X115" i="89"/>
  <c r="AA115" i="89" s="1"/>
  <c r="M115" i="89"/>
  <c r="K115" i="89"/>
  <c r="X114" i="89"/>
  <c r="K114" i="89"/>
  <c r="M114" i="89"/>
  <c r="X113" i="89"/>
  <c r="K113" i="89"/>
  <c r="M113" i="89" s="1"/>
  <c r="X112" i="89"/>
  <c r="AA112" i="89" s="1"/>
  <c r="K112" i="89"/>
  <c r="M112" i="89"/>
  <c r="X111" i="89"/>
  <c r="K111" i="89"/>
  <c r="M111" i="89" s="1"/>
  <c r="X110" i="89"/>
  <c r="K110" i="89"/>
  <c r="X109" i="89"/>
  <c r="K109" i="89"/>
  <c r="K108" i="89" s="1"/>
  <c r="M108" i="89" s="1"/>
  <c r="AA108" i="89" s="1"/>
  <c r="V108" i="89"/>
  <c r="S108" i="89"/>
  <c r="P108" i="89"/>
  <c r="L108" i="89"/>
  <c r="J108" i="89"/>
  <c r="I108" i="89"/>
  <c r="H108" i="89"/>
  <c r="G108" i="89"/>
  <c r="F108" i="89"/>
  <c r="E108" i="89"/>
  <c r="D108" i="89"/>
  <c r="X107" i="89"/>
  <c r="X106" i="89" s="1"/>
  <c r="W107" i="89"/>
  <c r="S107" i="89"/>
  <c r="P107" i="89"/>
  <c r="Q107" i="89" s="1"/>
  <c r="Q106" i="89" s="1"/>
  <c r="M107" i="89"/>
  <c r="AI106" i="89"/>
  <c r="AH106" i="89"/>
  <c r="AG106" i="89"/>
  <c r="AF106" i="89"/>
  <c r="AE106" i="89"/>
  <c r="AD106" i="89"/>
  <c r="AC106" i="89"/>
  <c r="V106" i="89"/>
  <c r="U106" i="89"/>
  <c r="T106" i="89"/>
  <c r="S106" i="89"/>
  <c r="R106" i="89"/>
  <c r="O106" i="89"/>
  <c r="N106" i="89"/>
  <c r="M106" i="89"/>
  <c r="L106" i="89"/>
  <c r="K106" i="89"/>
  <c r="J106" i="89"/>
  <c r="I106" i="89"/>
  <c r="H106" i="89"/>
  <c r="G106" i="89"/>
  <c r="F106" i="89"/>
  <c r="E106" i="89"/>
  <c r="D106" i="89"/>
  <c r="C106" i="89"/>
  <c r="P105" i="89"/>
  <c r="R105" i="89" s="1"/>
  <c r="S105" i="89" s="1"/>
  <c r="AD105" i="89" s="1"/>
  <c r="M105" i="89"/>
  <c r="K105" i="89"/>
  <c r="X104" i="89"/>
  <c r="AA104" i="89"/>
  <c r="W104" i="89"/>
  <c r="Y104" i="89" s="1"/>
  <c r="P104" i="89"/>
  <c r="R104" i="89" s="1"/>
  <c r="S104" i="89" s="1"/>
  <c r="AD104" i="89" s="1"/>
  <c r="M104" i="89"/>
  <c r="K104" i="89"/>
  <c r="W103" i="89"/>
  <c r="Y103" i="89" s="1"/>
  <c r="X103" i="89"/>
  <c r="Q103" i="89"/>
  <c r="P103" i="89"/>
  <c r="K103" i="89"/>
  <c r="P102" i="89"/>
  <c r="Q102" i="89"/>
  <c r="Z102" i="89" s="1"/>
  <c r="M102" i="89"/>
  <c r="K102" i="89"/>
  <c r="X101" i="89"/>
  <c r="AA101" i="89" s="1"/>
  <c r="AA100" i="89" s="1"/>
  <c r="W101" i="89"/>
  <c r="Y101" i="89" s="1"/>
  <c r="AB101" i="89" s="1"/>
  <c r="Q101" i="89"/>
  <c r="S101" i="89"/>
  <c r="P101" i="89"/>
  <c r="R101" i="89"/>
  <c r="K101" i="89"/>
  <c r="M101" i="89" s="1"/>
  <c r="AI100" i="89"/>
  <c r="AH100" i="89"/>
  <c r="AG100" i="89"/>
  <c r="AF100" i="89"/>
  <c r="AE100" i="89"/>
  <c r="AC100" i="89"/>
  <c r="U100" i="89"/>
  <c r="T100" i="89"/>
  <c r="N100" i="89"/>
  <c r="L100" i="89"/>
  <c r="J100" i="89"/>
  <c r="I100" i="89"/>
  <c r="H100" i="89"/>
  <c r="G100" i="89"/>
  <c r="F100" i="89"/>
  <c r="E100" i="89"/>
  <c r="D100" i="89"/>
  <c r="C100" i="89"/>
  <c r="S99" i="89"/>
  <c r="P99" i="89"/>
  <c r="K99" i="89"/>
  <c r="M99" i="89"/>
  <c r="Z99" i="89" s="1"/>
  <c r="P98" i="89"/>
  <c r="Q98" i="89" s="1"/>
  <c r="K98" i="89"/>
  <c r="M98" i="89" s="1"/>
  <c r="AA98" i="89" s="1"/>
  <c r="P97" i="89"/>
  <c r="K97" i="89"/>
  <c r="M97" i="89" s="1"/>
  <c r="W96" i="89"/>
  <c r="Y96" i="89" s="1"/>
  <c r="AB96" i="89" s="1"/>
  <c r="X96" i="89"/>
  <c r="P96" i="89"/>
  <c r="R96" i="89"/>
  <c r="S96" i="89" s="1"/>
  <c r="M96" i="89"/>
  <c r="AA96" i="89" s="1"/>
  <c r="K96" i="89"/>
  <c r="W95" i="89"/>
  <c r="Y95" i="89" s="1"/>
  <c r="AB95" i="89" s="1"/>
  <c r="P95" i="89"/>
  <c r="R95" i="89" s="1"/>
  <c r="S95" i="89" s="1"/>
  <c r="Q95" i="89"/>
  <c r="Z95" i="89" s="1"/>
  <c r="K95" i="89"/>
  <c r="M95" i="89" s="1"/>
  <c r="X94" i="89"/>
  <c r="AA94" i="89" s="1"/>
  <c r="K94" i="89"/>
  <c r="M94" i="89"/>
  <c r="W93" i="89"/>
  <c r="Y93" i="89" s="1"/>
  <c r="AB93" i="89" s="1"/>
  <c r="X93" i="89"/>
  <c r="P93" i="89"/>
  <c r="R93" i="89"/>
  <c r="S93" i="89" s="1"/>
  <c r="M93" i="89"/>
  <c r="AA93" i="89" s="1"/>
  <c r="K93" i="89"/>
  <c r="X92" i="89"/>
  <c r="W92" i="89"/>
  <c r="Y92" i="89"/>
  <c r="AB92" i="89" s="1"/>
  <c r="P92" i="89"/>
  <c r="Q92" i="89" s="1"/>
  <c r="Z92" i="89" s="1"/>
  <c r="K92" i="89"/>
  <c r="M92" i="89"/>
  <c r="W91" i="89"/>
  <c r="Y91" i="89"/>
  <c r="X91" i="89"/>
  <c r="P91" i="89"/>
  <c r="R91" i="89"/>
  <c r="K91" i="89"/>
  <c r="M91" i="89" s="1"/>
  <c r="AI90" i="89"/>
  <c r="AH90" i="89"/>
  <c r="AG90" i="89"/>
  <c r="AF90" i="89"/>
  <c r="AE90" i="89"/>
  <c r="AD90" i="89"/>
  <c r="AC90" i="89"/>
  <c r="O90" i="89"/>
  <c r="L90" i="89"/>
  <c r="K90" i="89"/>
  <c r="J90" i="89"/>
  <c r="I90" i="89"/>
  <c r="H90" i="89"/>
  <c r="G90" i="89"/>
  <c r="F90" i="89"/>
  <c r="E90" i="89"/>
  <c r="D90" i="89"/>
  <c r="C90" i="89"/>
  <c r="P89" i="89"/>
  <c r="R89" i="89" s="1"/>
  <c r="S89" i="89" s="1"/>
  <c r="Q89" i="89"/>
  <c r="K89" i="89"/>
  <c r="M89" i="89" s="1"/>
  <c r="AA89" i="89" s="1"/>
  <c r="X88" i="89"/>
  <c r="W88" i="89"/>
  <c r="Y88" i="89"/>
  <c r="AB88" i="89" s="1"/>
  <c r="P88" i="89"/>
  <c r="Q88" i="89" s="1"/>
  <c r="Z88" i="89" s="1"/>
  <c r="K88" i="89"/>
  <c r="M88" i="89" s="1"/>
  <c r="W87" i="89"/>
  <c r="Y87" i="89"/>
  <c r="AB87" i="89" s="1"/>
  <c r="P87" i="89"/>
  <c r="Q87" i="89" s="1"/>
  <c r="Z87" i="89" s="1"/>
  <c r="K87" i="89"/>
  <c r="M87" i="89"/>
  <c r="X86" i="89"/>
  <c r="P86" i="89"/>
  <c r="R86" i="89" s="1"/>
  <c r="S86" i="89" s="1"/>
  <c r="M86" i="89"/>
  <c r="AA86" i="89" s="1"/>
  <c r="K86" i="89"/>
  <c r="W85" i="89"/>
  <c r="Y85" i="89" s="1"/>
  <c r="AB85" i="89" s="1"/>
  <c r="P85" i="89"/>
  <c r="Q85" i="89"/>
  <c r="K85" i="89"/>
  <c r="M85" i="89"/>
  <c r="W84" i="89"/>
  <c r="Y84" i="89"/>
  <c r="X84" i="89"/>
  <c r="P84" i="89"/>
  <c r="R84" i="89" s="1"/>
  <c r="S84" i="89" s="1"/>
  <c r="K84" i="89"/>
  <c r="M84" i="89" s="1"/>
  <c r="Z84" i="89" s="1"/>
  <c r="W83" i="89"/>
  <c r="Y83" i="89"/>
  <c r="AB83" i="89" s="1"/>
  <c r="P83" i="89"/>
  <c r="Q83" i="89" s="1"/>
  <c r="Z83" i="89" s="1"/>
  <c r="K83" i="89"/>
  <c r="M83" i="89"/>
  <c r="W82" i="89"/>
  <c r="Y82" i="89"/>
  <c r="AB82" i="89" s="1"/>
  <c r="P82" i="89"/>
  <c r="R82" i="89" s="1"/>
  <c r="S82" i="89" s="1"/>
  <c r="K82" i="89"/>
  <c r="M82" i="89"/>
  <c r="W81" i="89"/>
  <c r="Y81" i="89"/>
  <c r="AB81" i="89" s="1"/>
  <c r="P81" i="89"/>
  <c r="K81" i="89"/>
  <c r="M81" i="89" s="1"/>
  <c r="P80" i="89"/>
  <c r="M80" i="89"/>
  <c r="K80" i="89"/>
  <c r="X79" i="89"/>
  <c r="AA79" i="89" s="1"/>
  <c r="P79" i="89"/>
  <c r="R79" i="89" s="1"/>
  <c r="S79" i="89" s="1"/>
  <c r="K79" i="89"/>
  <c r="M79" i="89"/>
  <c r="K78" i="89"/>
  <c r="M78" i="89" s="1"/>
  <c r="W77" i="89"/>
  <c r="Y77" i="89"/>
  <c r="AB77" i="89" s="1"/>
  <c r="X77" i="89"/>
  <c r="P77" i="89"/>
  <c r="K77" i="89"/>
  <c r="M77" i="89"/>
  <c r="AA77" i="89" s="1"/>
  <c r="X76" i="89"/>
  <c r="W76" i="89"/>
  <c r="Y76" i="89" s="1"/>
  <c r="R76" i="89"/>
  <c r="S76" i="89"/>
  <c r="P76" i="89"/>
  <c r="Q76" i="89"/>
  <c r="K76" i="89"/>
  <c r="K73" i="89"/>
  <c r="P75" i="89"/>
  <c r="K75" i="89"/>
  <c r="M75" i="89" s="1"/>
  <c r="P74" i="89"/>
  <c r="Q74" i="89" s="1"/>
  <c r="K74" i="89"/>
  <c r="M74" i="89" s="1"/>
  <c r="AI73" i="89"/>
  <c r="AH73" i="89"/>
  <c r="AG73" i="89"/>
  <c r="AF73" i="89"/>
  <c r="AE73" i="89"/>
  <c r="AC73" i="89"/>
  <c r="U73" i="89"/>
  <c r="N73" i="89"/>
  <c r="L73" i="89"/>
  <c r="J73" i="89"/>
  <c r="I73" i="89"/>
  <c r="H73" i="89"/>
  <c r="G73" i="89"/>
  <c r="F73" i="89"/>
  <c r="E73" i="89"/>
  <c r="D73" i="89"/>
  <c r="C73" i="89"/>
  <c r="X72" i="89"/>
  <c r="W72" i="89"/>
  <c r="Y72" i="89"/>
  <c r="P72" i="89"/>
  <c r="R72" i="89" s="1"/>
  <c r="S72" i="89" s="1"/>
  <c r="K72" i="89"/>
  <c r="M72" i="89" s="1"/>
  <c r="AB72" i="89" s="1"/>
  <c r="P71" i="89"/>
  <c r="K71" i="89"/>
  <c r="M71" i="89" s="1"/>
  <c r="Z71" i="89" s="1"/>
  <c r="P70" i="89"/>
  <c r="R70" i="89" s="1"/>
  <c r="S70" i="89" s="1"/>
  <c r="M70" i="89"/>
  <c r="K70" i="89"/>
  <c r="X69" i="89"/>
  <c r="W69" i="89"/>
  <c r="Y69" i="89"/>
  <c r="AB69" i="89" s="1"/>
  <c r="P69" i="89"/>
  <c r="R69" i="89"/>
  <c r="S69" i="89"/>
  <c r="K69" i="89"/>
  <c r="M69" i="89"/>
  <c r="AA69" i="89"/>
  <c r="X68" i="89"/>
  <c r="W68" i="89"/>
  <c r="Y68" i="89" s="1"/>
  <c r="P68" i="89"/>
  <c r="Q68" i="89"/>
  <c r="K68" i="89"/>
  <c r="M68" i="89" s="1"/>
  <c r="P67" i="89"/>
  <c r="M67" i="89"/>
  <c r="K67" i="89"/>
  <c r="W66" i="89"/>
  <c r="Y66" i="89"/>
  <c r="X66" i="89"/>
  <c r="AA66" i="89" s="1"/>
  <c r="P66" i="89"/>
  <c r="R66" i="89"/>
  <c r="S66" i="89" s="1"/>
  <c r="K66" i="89"/>
  <c r="M66" i="89" s="1"/>
  <c r="AB66" i="89" s="1"/>
  <c r="X65" i="89"/>
  <c r="W65" i="89"/>
  <c r="Y65" i="89"/>
  <c r="P65" i="89"/>
  <c r="Q65" i="89" s="1"/>
  <c r="K65" i="89"/>
  <c r="M65" i="89" s="1"/>
  <c r="AB65" i="89" s="1"/>
  <c r="K64" i="89"/>
  <c r="P63" i="89"/>
  <c r="R63" i="89" s="1"/>
  <c r="S63" i="89" s="1"/>
  <c r="K63" i="89"/>
  <c r="M63" i="89"/>
  <c r="X62" i="89"/>
  <c r="W62" i="89"/>
  <c r="Y62" i="89"/>
  <c r="P62" i="89"/>
  <c r="R62" i="89" s="1"/>
  <c r="S62" i="89" s="1"/>
  <c r="K62" i="89"/>
  <c r="M62" i="89" s="1"/>
  <c r="AB62" i="89" s="1"/>
  <c r="W61" i="89"/>
  <c r="Y61" i="89"/>
  <c r="P61" i="89"/>
  <c r="K61" i="89"/>
  <c r="M61" i="89" s="1"/>
  <c r="AB61" i="89" s="1"/>
  <c r="X60" i="89"/>
  <c r="P60" i="89"/>
  <c r="Q60" i="89" s="1"/>
  <c r="K60" i="89"/>
  <c r="M60" i="89" s="1"/>
  <c r="X59" i="89"/>
  <c r="W59" i="89"/>
  <c r="Y59" i="89" s="1"/>
  <c r="P59" i="89"/>
  <c r="Q59" i="89"/>
  <c r="K59" i="89"/>
  <c r="M59" i="89" s="1"/>
  <c r="Z59" i="89" s="1"/>
  <c r="W58" i="89"/>
  <c r="Y58" i="89"/>
  <c r="AB58" i="89" s="1"/>
  <c r="X58" i="89"/>
  <c r="P58" i="89"/>
  <c r="Q58" i="89"/>
  <c r="Z58" i="89" s="1"/>
  <c r="K58" i="89"/>
  <c r="M58" i="89"/>
  <c r="X57" i="89"/>
  <c r="W57" i="89"/>
  <c r="Y57" i="89"/>
  <c r="P57" i="89"/>
  <c r="K57" i="89"/>
  <c r="M57" i="89" s="1"/>
  <c r="AB57" i="89" s="1"/>
  <c r="W56" i="89"/>
  <c r="Y56" i="89"/>
  <c r="AB56" i="89" s="1"/>
  <c r="X56" i="89"/>
  <c r="P56" i="89"/>
  <c r="Q56" i="89"/>
  <c r="Z56" i="89" s="1"/>
  <c r="K56" i="89"/>
  <c r="M56" i="89"/>
  <c r="AA56" i="89" s="1"/>
  <c r="X55" i="89"/>
  <c r="W55" i="89"/>
  <c r="Y55" i="89"/>
  <c r="P55" i="89"/>
  <c r="Q55" i="89"/>
  <c r="K55" i="89"/>
  <c r="M55" i="89" s="1"/>
  <c r="X54" i="89"/>
  <c r="W54" i="89"/>
  <c r="Y54" i="89"/>
  <c r="AB54" i="89" s="1"/>
  <c r="P54" i="89"/>
  <c r="AD54" i="89" s="1"/>
  <c r="K54" i="89"/>
  <c r="M54" i="89" s="1"/>
  <c r="AA54" i="89" s="1"/>
  <c r="X53" i="89"/>
  <c r="W53" i="89"/>
  <c r="Y53" i="89"/>
  <c r="P53" i="89"/>
  <c r="Q53" i="89" s="1"/>
  <c r="K53" i="89"/>
  <c r="M53" i="89" s="1"/>
  <c r="W52" i="89"/>
  <c r="Y52" i="89" s="1"/>
  <c r="AB52" i="89" s="1"/>
  <c r="X52" i="89"/>
  <c r="AA52" i="89"/>
  <c r="P52" i="89"/>
  <c r="P51" i="89"/>
  <c r="X50" i="89"/>
  <c r="W50" i="89"/>
  <c r="Y50" i="89" s="1"/>
  <c r="AB50" i="89" s="1"/>
  <c r="P50" i="89"/>
  <c r="Q50" i="89"/>
  <c r="K50" i="89"/>
  <c r="M50" i="89" s="1"/>
  <c r="P49" i="89"/>
  <c r="M49" i="89"/>
  <c r="K49" i="89"/>
  <c r="X48" i="89"/>
  <c r="P48" i="89"/>
  <c r="R48" i="89" s="1"/>
  <c r="S48" i="89" s="1"/>
  <c r="K48" i="89"/>
  <c r="M48" i="89" s="1"/>
  <c r="AA48" i="89" s="1"/>
  <c r="X47" i="89"/>
  <c r="W47" i="89"/>
  <c r="Y47" i="89"/>
  <c r="AB47" i="89" s="1"/>
  <c r="P47" i="89"/>
  <c r="Q47" i="89"/>
  <c r="K47" i="89"/>
  <c r="M47" i="89" s="1"/>
  <c r="AI46" i="89"/>
  <c r="AH46" i="89"/>
  <c r="AG46" i="89"/>
  <c r="AF46" i="89"/>
  <c r="AE46" i="89"/>
  <c r="AC46" i="89"/>
  <c r="T46" i="89"/>
  <c r="V46" i="89" s="1"/>
  <c r="W46" i="89" s="1"/>
  <c r="Y46" i="89" s="1"/>
  <c r="AB46" i="89" s="1"/>
  <c r="O46" i="89"/>
  <c r="N46" i="89"/>
  <c r="L46" i="89"/>
  <c r="J46" i="89"/>
  <c r="I46" i="89"/>
  <c r="H46" i="89"/>
  <c r="G46" i="89"/>
  <c r="F46" i="89"/>
  <c r="E46" i="89"/>
  <c r="D46" i="89"/>
  <c r="C46" i="89"/>
  <c r="P45" i="89"/>
  <c r="R45" i="89" s="1"/>
  <c r="S45" i="89" s="1"/>
  <c r="K45" i="89"/>
  <c r="M45" i="89"/>
  <c r="X44" i="89"/>
  <c r="P44" i="89"/>
  <c r="R44" i="89"/>
  <c r="S44" i="89" s="1"/>
  <c r="K44" i="89"/>
  <c r="M44" i="89" s="1"/>
  <c r="AA44" i="89" s="1"/>
  <c r="X43" i="89"/>
  <c r="W43" i="89"/>
  <c r="Y43" i="89"/>
  <c r="P43" i="89"/>
  <c r="Q43" i="89" s="1"/>
  <c r="K43" i="89"/>
  <c r="M43" i="89" s="1"/>
  <c r="X42" i="89"/>
  <c r="AA42" i="89" s="1"/>
  <c r="P42" i="89"/>
  <c r="AD42" i="89" s="1"/>
  <c r="K42" i="89"/>
  <c r="M42" i="89" s="1"/>
  <c r="P41" i="89"/>
  <c r="R41" i="89" s="1"/>
  <c r="S41" i="89" s="1"/>
  <c r="K41" i="89"/>
  <c r="M41" i="89"/>
  <c r="P40" i="89"/>
  <c r="K40" i="89"/>
  <c r="M40" i="89" s="1"/>
  <c r="X39" i="89"/>
  <c r="AA39" i="89" s="1"/>
  <c r="W39" i="89"/>
  <c r="Y39" i="89" s="1"/>
  <c r="AB39" i="89" s="1"/>
  <c r="P39" i="89"/>
  <c r="R39" i="89" s="1"/>
  <c r="S39" i="89" s="1"/>
  <c r="Q39" i="89"/>
  <c r="K39" i="89"/>
  <c r="M39" i="89"/>
  <c r="P38" i="89"/>
  <c r="M38" i="89"/>
  <c r="K38" i="89"/>
  <c r="X37" i="89"/>
  <c r="AA37" i="89" s="1"/>
  <c r="P37" i="89"/>
  <c r="R37" i="89" s="1"/>
  <c r="S37" i="89" s="1"/>
  <c r="K37" i="89"/>
  <c r="M37" i="89"/>
  <c r="X36" i="89"/>
  <c r="P36" i="89"/>
  <c r="R36" i="89" s="1"/>
  <c r="S36" i="89" s="1"/>
  <c r="M36" i="89"/>
  <c r="AA36" i="89" s="1"/>
  <c r="K36" i="89"/>
  <c r="X35" i="89"/>
  <c r="AA35" i="89" s="1"/>
  <c r="P35" i="89"/>
  <c r="K35" i="89"/>
  <c r="M35" i="89"/>
  <c r="P34" i="89"/>
  <c r="R34" i="89"/>
  <c r="K34" i="89"/>
  <c r="M34" i="89"/>
  <c r="R33" i="89"/>
  <c r="S33" i="89"/>
  <c r="P33" i="89"/>
  <c r="Q33" i="89"/>
  <c r="K33" i="89"/>
  <c r="M33" i="89"/>
  <c r="P32" i="89"/>
  <c r="R32" i="89"/>
  <c r="S32" i="89" s="1"/>
  <c r="K32" i="89"/>
  <c r="M32" i="89" s="1"/>
  <c r="X31" i="89"/>
  <c r="W31" i="89"/>
  <c r="Y31" i="89" s="1"/>
  <c r="AB31" i="89" s="1"/>
  <c r="P31" i="89"/>
  <c r="R31" i="89"/>
  <c r="S31" i="89" s="1"/>
  <c r="K31" i="89"/>
  <c r="M31" i="89" s="1"/>
  <c r="P30" i="89"/>
  <c r="K30" i="89"/>
  <c r="M30" i="89"/>
  <c r="W29" i="89"/>
  <c r="Y29" i="89"/>
  <c r="AB29" i="89" s="1"/>
  <c r="P29" i="89"/>
  <c r="Q29" i="89" s="1"/>
  <c r="M29" i="89"/>
  <c r="K29" i="89"/>
  <c r="T20" i="89"/>
  <c r="P28" i="89"/>
  <c r="R28" i="89"/>
  <c r="S28" i="89" s="1"/>
  <c r="K28" i="89"/>
  <c r="M28" i="89" s="1"/>
  <c r="X27" i="89"/>
  <c r="AA27" i="89" s="1"/>
  <c r="W27" i="89"/>
  <c r="Y27" i="89" s="1"/>
  <c r="AB27" i="89" s="1"/>
  <c r="P27" i="89"/>
  <c r="R27" i="89" s="1"/>
  <c r="S27" i="89" s="1"/>
  <c r="Q27" i="89"/>
  <c r="Z27" i="89" s="1"/>
  <c r="K27" i="89"/>
  <c r="M27" i="89" s="1"/>
  <c r="P26" i="89"/>
  <c r="M26" i="89"/>
  <c r="K26" i="89"/>
  <c r="P25" i="89"/>
  <c r="R25" i="89"/>
  <c r="S25" i="89"/>
  <c r="M25" i="89"/>
  <c r="K25" i="89"/>
  <c r="W24" i="89"/>
  <c r="Y24" i="89"/>
  <c r="P24" i="89"/>
  <c r="K24" i="89"/>
  <c r="M24" i="89"/>
  <c r="AA24" i="89" s="1"/>
  <c r="P23" i="89"/>
  <c r="K23" i="89"/>
  <c r="M23" i="89" s="1"/>
  <c r="X22" i="89"/>
  <c r="P22" i="89"/>
  <c r="K22" i="89"/>
  <c r="M22" i="89" s="1"/>
  <c r="X21" i="89"/>
  <c r="W21" i="89"/>
  <c r="Y21" i="89"/>
  <c r="R21" i="89"/>
  <c r="S21" i="89" s="1"/>
  <c r="P21" i="89"/>
  <c r="Q21" i="89" s="1"/>
  <c r="AD21" i="89"/>
  <c r="K21" i="89"/>
  <c r="M21" i="89" s="1"/>
  <c r="AA21" i="89" s="1"/>
  <c r="AO20" i="89"/>
  <c r="AI20" i="89"/>
  <c r="AH20" i="89"/>
  <c r="AG20" i="89"/>
  <c r="AF20" i="89"/>
  <c r="AE20" i="89"/>
  <c r="AC20" i="89"/>
  <c r="O20" i="89"/>
  <c r="N20" i="89"/>
  <c r="L20" i="89"/>
  <c r="J20" i="89"/>
  <c r="I20" i="89"/>
  <c r="H20" i="89"/>
  <c r="G20" i="89"/>
  <c r="F20" i="89"/>
  <c r="E20" i="89"/>
  <c r="D20" i="89"/>
  <c r="C20" i="89"/>
  <c r="P19" i="89"/>
  <c r="M19" i="89"/>
  <c r="W18" i="89"/>
  <c r="Y18" i="89"/>
  <c r="AB18" i="89" s="1"/>
  <c r="Q18" i="89"/>
  <c r="P18" i="89"/>
  <c r="R18" i="89" s="1"/>
  <c r="S18" i="89" s="1"/>
  <c r="AD18" i="89"/>
  <c r="K18" i="89"/>
  <c r="M18" i="89"/>
  <c r="X17" i="89"/>
  <c r="P17" i="89"/>
  <c r="Q17" i="89" s="1"/>
  <c r="AD17" i="89"/>
  <c r="K17" i="89"/>
  <c r="M17" i="89" s="1"/>
  <c r="AA17" i="89" s="1"/>
  <c r="P16" i="89"/>
  <c r="AD16" i="89"/>
  <c r="K16" i="89"/>
  <c r="M16" i="89" s="1"/>
  <c r="R15" i="89"/>
  <c r="S15" i="89"/>
  <c r="P15" i="89"/>
  <c r="Q15" i="89" s="1"/>
  <c r="AD15" i="89"/>
  <c r="K15" i="89"/>
  <c r="M15" i="89" s="1"/>
  <c r="P14" i="89"/>
  <c r="K14" i="89"/>
  <c r="M14" i="89" s="1"/>
  <c r="X13" i="89"/>
  <c r="W13" i="89"/>
  <c r="Y13" i="89"/>
  <c r="P13" i="89"/>
  <c r="Q13" i="89" s="1"/>
  <c r="K13" i="89"/>
  <c r="M13" i="89" s="1"/>
  <c r="X12" i="89"/>
  <c r="AA12" i="89" s="1"/>
  <c r="W12" i="89"/>
  <c r="Y12" i="89"/>
  <c r="P12" i="89"/>
  <c r="K12" i="89"/>
  <c r="M12" i="89"/>
  <c r="AB12" i="89"/>
  <c r="P11" i="89"/>
  <c r="K11" i="89"/>
  <c r="M11" i="89"/>
  <c r="P10" i="89"/>
  <c r="Q10" i="89" s="1"/>
  <c r="K10" i="89"/>
  <c r="M10" i="89"/>
  <c r="W9" i="89"/>
  <c r="Y9" i="89" s="1"/>
  <c r="AB9" i="89" s="1"/>
  <c r="P9" i="89"/>
  <c r="AD9" i="89"/>
  <c r="K9" i="89"/>
  <c r="M9" i="89"/>
  <c r="P8" i="89"/>
  <c r="AD8" i="89"/>
  <c r="K8" i="89"/>
  <c r="M8" i="89"/>
  <c r="X7" i="89"/>
  <c r="O6" i="89"/>
  <c r="L7" i="89"/>
  <c r="K7" i="89"/>
  <c r="M7" i="89"/>
  <c r="AI6" i="89"/>
  <c r="AH6" i="89"/>
  <c r="AG6" i="89"/>
  <c r="AF6" i="89"/>
  <c r="AE6" i="89"/>
  <c r="AC6" i="89"/>
  <c r="T6" i="89"/>
  <c r="N6" i="89"/>
  <c r="L6" i="89"/>
  <c r="J6" i="89"/>
  <c r="I6" i="89"/>
  <c r="H6" i="89"/>
  <c r="G6" i="89"/>
  <c r="F6" i="89"/>
  <c r="E6" i="89"/>
  <c r="D6" i="89"/>
  <c r="C6" i="89"/>
  <c r="S127" i="88"/>
  <c r="M127" i="88"/>
  <c r="S126" i="88"/>
  <c r="M126" i="88"/>
  <c r="S125" i="88"/>
  <c r="M125" i="88"/>
  <c r="S124" i="88"/>
  <c r="M124" i="88"/>
  <c r="S123" i="88"/>
  <c r="S121" i="88" s="1"/>
  <c r="M123" i="88"/>
  <c r="M121" i="88" s="1"/>
  <c r="S122" i="88"/>
  <c r="M122" i="88"/>
  <c r="AN121" i="88"/>
  <c r="AM121" i="88"/>
  <c r="AL121" i="88"/>
  <c r="AK121" i="88"/>
  <c r="AJ121" i="88"/>
  <c r="AI121" i="88"/>
  <c r="AH121" i="88"/>
  <c r="AG121" i="88"/>
  <c r="AF121" i="88"/>
  <c r="AE121" i="88"/>
  <c r="AD121" i="88"/>
  <c r="AC121" i="88"/>
  <c r="AB121" i="88"/>
  <c r="AA121" i="88"/>
  <c r="Z121" i="88"/>
  <c r="Y121" i="88"/>
  <c r="X121" i="88"/>
  <c r="W121" i="88"/>
  <c r="V121" i="88"/>
  <c r="U121" i="88"/>
  <c r="T121" i="88"/>
  <c r="R121" i="88"/>
  <c r="Q121" i="88"/>
  <c r="P121" i="88"/>
  <c r="O121" i="88"/>
  <c r="N121" i="88"/>
  <c r="L121" i="88"/>
  <c r="K121" i="88"/>
  <c r="J121" i="88"/>
  <c r="I121" i="88"/>
  <c r="H121" i="88"/>
  <c r="G121" i="88"/>
  <c r="F121" i="88"/>
  <c r="E121" i="88"/>
  <c r="D121" i="88"/>
  <c r="C121" i="88"/>
  <c r="V120" i="88"/>
  <c r="X120" i="88" s="1"/>
  <c r="K120" i="88"/>
  <c r="M120" i="88"/>
  <c r="V119" i="88"/>
  <c r="X119" i="88" s="1"/>
  <c r="K119" i="88"/>
  <c r="M119" i="88" s="1"/>
  <c r="V118" i="88"/>
  <c r="X118" i="88"/>
  <c r="K118" i="88"/>
  <c r="M118" i="88" s="1"/>
  <c r="AA118" i="88" s="1"/>
  <c r="V117" i="88"/>
  <c r="X117" i="88"/>
  <c r="AA117" i="88" s="1"/>
  <c r="T117" i="88"/>
  <c r="K117" i="88"/>
  <c r="M117" i="88"/>
  <c r="V116" i="88"/>
  <c r="X116" i="88"/>
  <c r="K116" i="88"/>
  <c r="M116" i="88" s="1"/>
  <c r="AA116" i="88" s="1"/>
  <c r="V115" i="88"/>
  <c r="X115" i="88"/>
  <c r="M115" i="88"/>
  <c r="K115" i="88"/>
  <c r="V114" i="88"/>
  <c r="X114" i="88"/>
  <c r="AA114" i="88"/>
  <c r="K114" i="88"/>
  <c r="M114" i="88"/>
  <c r="V113" i="88"/>
  <c r="X113" i="88" s="1"/>
  <c r="AA113" i="88" s="1"/>
  <c r="K113" i="88"/>
  <c r="M113" i="88" s="1"/>
  <c r="V112" i="88"/>
  <c r="X112" i="88"/>
  <c r="K112" i="88"/>
  <c r="V111" i="88"/>
  <c r="X111" i="88"/>
  <c r="K111" i="88"/>
  <c r="M111" i="88" s="1"/>
  <c r="AA111" i="88" s="1"/>
  <c r="V110" i="88"/>
  <c r="X110" i="88"/>
  <c r="K110" i="88"/>
  <c r="M110" i="88"/>
  <c r="V109" i="88"/>
  <c r="X109" i="88" s="1"/>
  <c r="K109" i="88"/>
  <c r="M109" i="88"/>
  <c r="V108" i="88"/>
  <c r="S108" i="88"/>
  <c r="P108" i="88"/>
  <c r="L108" i="88"/>
  <c r="J108" i="88"/>
  <c r="I108" i="88"/>
  <c r="H108" i="88"/>
  <c r="G108" i="88"/>
  <c r="F108" i="88"/>
  <c r="E108" i="88"/>
  <c r="D108" i="88"/>
  <c r="AD107" i="88"/>
  <c r="V107" i="88"/>
  <c r="S107" i="88"/>
  <c r="P107" i="88"/>
  <c r="M107" i="88"/>
  <c r="AN106" i="88"/>
  <c r="AM106" i="88"/>
  <c r="AL106" i="88"/>
  <c r="AK106" i="88"/>
  <c r="AI106" i="88"/>
  <c r="AH106" i="88"/>
  <c r="AG106" i="88"/>
  <c r="AF106" i="88"/>
  <c r="AE106" i="88"/>
  <c r="AD106" i="88"/>
  <c r="AC106" i="88"/>
  <c r="U106" i="88"/>
  <c r="T106" i="88"/>
  <c r="S106" i="88"/>
  <c r="R106" i="88"/>
  <c r="O106" i="88"/>
  <c r="N106" i="88"/>
  <c r="M106" i="88"/>
  <c r="L106" i="88"/>
  <c r="K106" i="88"/>
  <c r="J106" i="88"/>
  <c r="I106" i="88"/>
  <c r="H106" i="88"/>
  <c r="G106" i="88"/>
  <c r="F106" i="88"/>
  <c r="E106" i="88"/>
  <c r="D106" i="88"/>
  <c r="C106" i="88"/>
  <c r="V105" i="88"/>
  <c r="X105" i="88" s="1"/>
  <c r="AA105" i="88" s="1"/>
  <c r="P105" i="88"/>
  <c r="R105" i="88"/>
  <c r="S105" i="88" s="1"/>
  <c r="AD105" i="88" s="1"/>
  <c r="K105" i="88"/>
  <c r="M105" i="88" s="1"/>
  <c r="W104" i="88"/>
  <c r="Y104" i="88"/>
  <c r="V104" i="88"/>
  <c r="X104" i="88" s="1"/>
  <c r="AA104" i="88" s="1"/>
  <c r="P104" i="88"/>
  <c r="K104" i="88"/>
  <c r="M104" i="88" s="1"/>
  <c r="V103" i="88"/>
  <c r="X103" i="88" s="1"/>
  <c r="AA103" i="88" s="1"/>
  <c r="Q103" i="88"/>
  <c r="O103" i="88"/>
  <c r="K103" i="88"/>
  <c r="M103" i="88" s="1"/>
  <c r="V102" i="88"/>
  <c r="O102" i="88"/>
  <c r="Q102" i="88" s="1"/>
  <c r="K102" i="88"/>
  <c r="M102" i="88" s="1"/>
  <c r="V101" i="88"/>
  <c r="P101" i="88"/>
  <c r="R101" i="88" s="1"/>
  <c r="O101" i="88"/>
  <c r="Q101" i="88" s="1"/>
  <c r="S101" i="88" s="1"/>
  <c r="K101" i="88"/>
  <c r="K100" i="88"/>
  <c r="AN100" i="88"/>
  <c r="AM100" i="88"/>
  <c r="AL100" i="88"/>
  <c r="AK100" i="88"/>
  <c r="AJ100" i="88"/>
  <c r="AI100" i="88"/>
  <c r="AH100" i="88"/>
  <c r="AG100" i="88"/>
  <c r="AF100" i="88"/>
  <c r="AE100" i="88"/>
  <c r="AC100" i="88"/>
  <c r="U100" i="88"/>
  <c r="T100" i="88"/>
  <c r="N100" i="88"/>
  <c r="L100" i="88"/>
  <c r="J100" i="88"/>
  <c r="I100" i="88"/>
  <c r="H100" i="88"/>
  <c r="G100" i="88"/>
  <c r="F100" i="88"/>
  <c r="E100" i="88"/>
  <c r="D100" i="88"/>
  <c r="C100" i="88"/>
  <c r="V99" i="88"/>
  <c r="S99" i="88"/>
  <c r="P99" i="88"/>
  <c r="K99" i="88"/>
  <c r="M99" i="88"/>
  <c r="Z99" i="88" s="1"/>
  <c r="T98" i="88"/>
  <c r="N98" i="88"/>
  <c r="K98" i="88"/>
  <c r="M98" i="88" s="1"/>
  <c r="X97" i="88"/>
  <c r="V97" i="88"/>
  <c r="W97" i="88" s="1"/>
  <c r="Y97" i="88" s="1"/>
  <c r="R97" i="88"/>
  <c r="S97" i="88" s="1"/>
  <c r="P97" i="88"/>
  <c r="Q97" i="88" s="1"/>
  <c r="K97" i="88"/>
  <c r="M97" i="88" s="1"/>
  <c r="V96" i="88"/>
  <c r="X96" i="88" s="1"/>
  <c r="P96" i="88"/>
  <c r="R96" i="88" s="1"/>
  <c r="S96" i="88" s="1"/>
  <c r="K96" i="88"/>
  <c r="M96" i="88" s="1"/>
  <c r="V95" i="88"/>
  <c r="P95" i="88"/>
  <c r="K95" i="88"/>
  <c r="M95" i="88" s="1"/>
  <c r="V94" i="88"/>
  <c r="W94" i="88" s="1"/>
  <c r="Y94" i="88" s="1"/>
  <c r="N94" i="88"/>
  <c r="P94" i="88" s="1"/>
  <c r="K94" i="88"/>
  <c r="M94" i="88"/>
  <c r="V93" i="88"/>
  <c r="X93" i="88"/>
  <c r="P93" i="88"/>
  <c r="R93" i="88"/>
  <c r="S93" i="88" s="1"/>
  <c r="M93" i="88"/>
  <c r="AA93" i="88" s="1"/>
  <c r="K93" i="88"/>
  <c r="V92" i="88"/>
  <c r="P92" i="88"/>
  <c r="M92" i="88"/>
  <c r="K92" i="88"/>
  <c r="V91" i="88"/>
  <c r="P91" i="88"/>
  <c r="R91" i="88" s="1"/>
  <c r="K91" i="88"/>
  <c r="AM90" i="88"/>
  <c r="AL90" i="88"/>
  <c r="AK90" i="88"/>
  <c r="AJ90" i="88"/>
  <c r="AI90" i="88"/>
  <c r="AH90" i="88"/>
  <c r="AG90" i="88"/>
  <c r="AF90" i="88"/>
  <c r="AE90" i="88"/>
  <c r="AD90" i="88"/>
  <c r="AC90" i="88"/>
  <c r="U90" i="88"/>
  <c r="O90" i="88"/>
  <c r="L90" i="88"/>
  <c r="J90" i="88"/>
  <c r="I90" i="88"/>
  <c r="H90" i="88"/>
  <c r="G90" i="88"/>
  <c r="F90" i="88"/>
  <c r="E90" i="88"/>
  <c r="D90" i="88"/>
  <c r="C90" i="88"/>
  <c r="T89" i="88"/>
  <c r="V89" i="88"/>
  <c r="P89" i="88"/>
  <c r="K89" i="88"/>
  <c r="M89" i="88" s="1"/>
  <c r="W88" i="88"/>
  <c r="Y88" i="88" s="1"/>
  <c r="V88" i="88"/>
  <c r="X88" i="88" s="1"/>
  <c r="AA88" i="88" s="1"/>
  <c r="R88" i="88"/>
  <c r="S88" i="88" s="1"/>
  <c r="P88" i="88"/>
  <c r="Q88" i="88" s="1"/>
  <c r="K88" i="88"/>
  <c r="M88" i="88" s="1"/>
  <c r="X87" i="88"/>
  <c r="V87" i="88"/>
  <c r="W87" i="88" s="1"/>
  <c r="Y87" i="88" s="1"/>
  <c r="R87" i="88"/>
  <c r="S87" i="88"/>
  <c r="P87" i="88"/>
  <c r="Q87" i="88" s="1"/>
  <c r="K87" i="88"/>
  <c r="M87" i="88"/>
  <c r="V86" i="88"/>
  <c r="P86" i="88"/>
  <c r="M86" i="88"/>
  <c r="K86" i="88"/>
  <c r="W85" i="88"/>
  <c r="Y85" i="88"/>
  <c r="V85" i="88"/>
  <c r="X85" i="88"/>
  <c r="P85" i="88"/>
  <c r="K85" i="88"/>
  <c r="M85" i="88" s="1"/>
  <c r="V84" i="88"/>
  <c r="W84" i="88" s="1"/>
  <c r="Y84" i="88" s="1"/>
  <c r="AB84" i="88" s="1"/>
  <c r="P84" i="88"/>
  <c r="K84" i="88"/>
  <c r="M84" i="88"/>
  <c r="V83" i="88"/>
  <c r="Q83" i="88"/>
  <c r="Z83" i="88"/>
  <c r="P83" i="88"/>
  <c r="R83" i="88" s="1"/>
  <c r="S83" i="88" s="1"/>
  <c r="K83" i="88"/>
  <c r="M83" i="88"/>
  <c r="V82" i="88"/>
  <c r="P82" i="88"/>
  <c r="K82" i="88"/>
  <c r="M82" i="88"/>
  <c r="V81" i="88"/>
  <c r="P81" i="88"/>
  <c r="K81" i="88"/>
  <c r="M81" i="88" s="1"/>
  <c r="AA80" i="88"/>
  <c r="V80" i="88"/>
  <c r="X80" i="88" s="1"/>
  <c r="Q80" i="88"/>
  <c r="P80" i="88"/>
  <c r="R80" i="88" s="1"/>
  <c r="S80" i="88" s="1"/>
  <c r="K80" i="88"/>
  <c r="M80" i="88" s="1"/>
  <c r="Z80" i="88" s="1"/>
  <c r="T79" i="88"/>
  <c r="S79" i="88"/>
  <c r="R79" i="88"/>
  <c r="P79" i="88"/>
  <c r="Q79" i="88"/>
  <c r="K79" i="88"/>
  <c r="M79" i="88" s="1"/>
  <c r="V78" i="88"/>
  <c r="O78" i="88"/>
  <c r="K78" i="88"/>
  <c r="M78" i="88" s="1"/>
  <c r="X77" i="88"/>
  <c r="V77" i="88"/>
  <c r="W77" i="88" s="1"/>
  <c r="Y77" i="88" s="1"/>
  <c r="AB77" i="88" s="1"/>
  <c r="R77" i="88"/>
  <c r="S77" i="88" s="1"/>
  <c r="O77" i="88"/>
  <c r="P77" i="88"/>
  <c r="Q77" i="88"/>
  <c r="K77" i="88"/>
  <c r="M77" i="88" s="1"/>
  <c r="V76" i="88"/>
  <c r="P76" i="88"/>
  <c r="K76" i="88"/>
  <c r="M76" i="88" s="1"/>
  <c r="V75" i="88"/>
  <c r="P75" i="88"/>
  <c r="Q75" i="88" s="1"/>
  <c r="Z75" i="88" s="1"/>
  <c r="R75" i="88"/>
  <c r="S75" i="88" s="1"/>
  <c r="K75" i="88"/>
  <c r="M75" i="88"/>
  <c r="X74" i="88"/>
  <c r="V74" i="88"/>
  <c r="W74" i="88" s="1"/>
  <c r="Y74" i="88" s="1"/>
  <c r="R74" i="88"/>
  <c r="S74" i="88" s="1"/>
  <c r="P74" i="88"/>
  <c r="Q74" i="88" s="1"/>
  <c r="K74" i="88"/>
  <c r="AN73" i="88"/>
  <c r="AM73" i="88"/>
  <c r="AL73" i="88"/>
  <c r="AK73" i="88"/>
  <c r="AJ73" i="88"/>
  <c r="AI73" i="88"/>
  <c r="AH73" i="88"/>
  <c r="AG73" i="88"/>
  <c r="AF73" i="88"/>
  <c r="AE73" i="88"/>
  <c r="AC73" i="88"/>
  <c r="U73" i="88"/>
  <c r="N73" i="88"/>
  <c r="L73" i="88"/>
  <c r="J73" i="88"/>
  <c r="I73" i="88"/>
  <c r="H73" i="88"/>
  <c r="G73" i="88"/>
  <c r="F73" i="88"/>
  <c r="F128" i="88" s="1"/>
  <c r="E73" i="88"/>
  <c r="D73" i="88"/>
  <c r="C73" i="88"/>
  <c r="V72" i="88"/>
  <c r="W72" i="88" s="1"/>
  <c r="P72" i="88"/>
  <c r="K72" i="88"/>
  <c r="M72" i="88" s="1"/>
  <c r="W71" i="88"/>
  <c r="Y71" i="88" s="1"/>
  <c r="V71" i="88"/>
  <c r="X71" i="88"/>
  <c r="P71" i="88"/>
  <c r="K71" i="88"/>
  <c r="M71" i="88" s="1"/>
  <c r="AA71" i="88"/>
  <c r="Y70" i="88"/>
  <c r="AB70" i="88"/>
  <c r="V70" i="88"/>
  <c r="W70" i="88" s="1"/>
  <c r="S70" i="88"/>
  <c r="Q70" i="88"/>
  <c r="Z70" i="88"/>
  <c r="P70" i="88"/>
  <c r="R70" i="88" s="1"/>
  <c r="K70" i="88"/>
  <c r="M70" i="88"/>
  <c r="Y69" i="88"/>
  <c r="V69" i="88"/>
  <c r="X69" i="88" s="1"/>
  <c r="W69" i="88"/>
  <c r="R69" i="88"/>
  <c r="S69" i="88" s="1"/>
  <c r="P69" i="88"/>
  <c r="Q69" i="88"/>
  <c r="K69" i="88"/>
  <c r="M69" i="88" s="1"/>
  <c r="AB69" i="88" s="1"/>
  <c r="V68" i="88"/>
  <c r="P68" i="88"/>
  <c r="M68" i="88"/>
  <c r="K68" i="88"/>
  <c r="V67" i="88"/>
  <c r="P67" i="88"/>
  <c r="K67" i="88"/>
  <c r="M67" i="88"/>
  <c r="M46" i="88" s="1"/>
  <c r="W66" i="88"/>
  <c r="Y66" i="88" s="1"/>
  <c r="AB66" i="88" s="1"/>
  <c r="V66" i="88"/>
  <c r="X66" i="88" s="1"/>
  <c r="AA66" i="88" s="1"/>
  <c r="P66" i="88"/>
  <c r="K66" i="88"/>
  <c r="M66" i="88"/>
  <c r="Y65" i="88"/>
  <c r="X65" i="88"/>
  <c r="V65" i="88"/>
  <c r="W65" i="88"/>
  <c r="R65" i="88"/>
  <c r="S65" i="88"/>
  <c r="P65" i="88"/>
  <c r="Q65" i="88"/>
  <c r="K65" i="88"/>
  <c r="M65" i="88"/>
  <c r="K64" i="88"/>
  <c r="T63" i="88"/>
  <c r="V63" i="88" s="1"/>
  <c r="P63" i="88"/>
  <c r="K63" i="88"/>
  <c r="M63" i="88"/>
  <c r="X62" i="88"/>
  <c r="AA62" i="88"/>
  <c r="V62" i="88"/>
  <c r="W62" i="88"/>
  <c r="Y62" i="88"/>
  <c r="AB62" i="88"/>
  <c r="P62" i="88"/>
  <c r="R62" i="88" s="1"/>
  <c r="S62" i="88" s="1"/>
  <c r="Q62" i="88"/>
  <c r="Z62" i="88" s="1"/>
  <c r="K62" i="88"/>
  <c r="M62" i="88" s="1"/>
  <c r="V61" i="88"/>
  <c r="T61" i="88"/>
  <c r="P61" i="88"/>
  <c r="K61" i="88"/>
  <c r="M61" i="88"/>
  <c r="U60" i="88"/>
  <c r="V60" i="88"/>
  <c r="X60" i="88" s="1"/>
  <c r="W60" i="88"/>
  <c r="Y60" i="88" s="1"/>
  <c r="R60" i="88"/>
  <c r="S60" i="88" s="1"/>
  <c r="P60" i="88"/>
  <c r="Q60" i="88"/>
  <c r="K60" i="88"/>
  <c r="M60" i="88"/>
  <c r="W59" i="88"/>
  <c r="Y59" i="88"/>
  <c r="V59" i="88"/>
  <c r="X59" i="88" s="1"/>
  <c r="Q59" i="88"/>
  <c r="Z59" i="88" s="1"/>
  <c r="P59" i="88"/>
  <c r="R59" i="88" s="1"/>
  <c r="S59" i="88" s="1"/>
  <c r="K59" i="88"/>
  <c r="M59" i="88"/>
  <c r="V58" i="88"/>
  <c r="P58" i="88"/>
  <c r="K58" i="88"/>
  <c r="M58" i="88" s="1"/>
  <c r="T57" i="88"/>
  <c r="V57" i="88"/>
  <c r="W57" i="88"/>
  <c r="Y57" i="88" s="1"/>
  <c r="AB57" i="88" s="1"/>
  <c r="P57" i="88"/>
  <c r="K57" i="88"/>
  <c r="M57" i="88" s="1"/>
  <c r="T56" i="88"/>
  <c r="V56" i="88" s="1"/>
  <c r="P56" i="88"/>
  <c r="K56" i="88"/>
  <c r="M56" i="88"/>
  <c r="V55" i="88"/>
  <c r="O55" i="88"/>
  <c r="P55" i="88"/>
  <c r="Q55" i="88"/>
  <c r="M55" i="88"/>
  <c r="K55" i="88"/>
  <c r="V54" i="88"/>
  <c r="P54" i="88"/>
  <c r="K54" i="88"/>
  <c r="M54" i="88"/>
  <c r="V53" i="88"/>
  <c r="P53" i="88"/>
  <c r="K53" i="88"/>
  <c r="M53" i="88"/>
  <c r="V52" i="88"/>
  <c r="P52" i="88"/>
  <c r="X51" i="88"/>
  <c r="AA51" i="88"/>
  <c r="V51" i="88"/>
  <c r="W51" i="88"/>
  <c r="Y51" i="88" s="1"/>
  <c r="AB51" i="88" s="1"/>
  <c r="R51" i="88"/>
  <c r="S51" i="88" s="1"/>
  <c r="P51" i="88"/>
  <c r="Q51" i="88"/>
  <c r="Z51" i="88"/>
  <c r="X50" i="88"/>
  <c r="V50" i="88"/>
  <c r="W50" i="88" s="1"/>
  <c r="Y50" i="88" s="1"/>
  <c r="AB50" i="88" s="1"/>
  <c r="P50" i="88"/>
  <c r="K50" i="88"/>
  <c r="M50" i="88"/>
  <c r="V49" i="88"/>
  <c r="S49" i="88"/>
  <c r="P49" i="88"/>
  <c r="R49" i="88" s="1"/>
  <c r="Q49" i="88"/>
  <c r="M49" i="88"/>
  <c r="K49" i="88"/>
  <c r="V48" i="88"/>
  <c r="O48" i="88"/>
  <c r="K48" i="88"/>
  <c r="M48" i="88"/>
  <c r="V47" i="88"/>
  <c r="P47" i="88"/>
  <c r="K47" i="88"/>
  <c r="M47" i="88"/>
  <c r="AN46" i="88"/>
  <c r="AM46" i="88"/>
  <c r="AL46" i="88"/>
  <c r="AK46" i="88"/>
  <c r="AJ46" i="88"/>
  <c r="AI46" i="88"/>
  <c r="AH46" i="88"/>
  <c r="AG46" i="88"/>
  <c r="AF46" i="88"/>
  <c r="AE46" i="88"/>
  <c r="AC46" i="88"/>
  <c r="T46" i="88"/>
  <c r="V46" i="88"/>
  <c r="N46" i="88"/>
  <c r="L46" i="88"/>
  <c r="J46" i="88"/>
  <c r="I46" i="88"/>
  <c r="H46" i="88"/>
  <c r="G46" i="88"/>
  <c r="F46" i="88"/>
  <c r="E46" i="88"/>
  <c r="D46" i="88"/>
  <c r="C46" i="88"/>
  <c r="T45" i="88"/>
  <c r="V45" i="88"/>
  <c r="P45" i="88"/>
  <c r="K45" i="88"/>
  <c r="M45" i="88" s="1"/>
  <c r="V44" i="88"/>
  <c r="P44" i="88"/>
  <c r="R44" i="88"/>
  <c r="S44" i="88"/>
  <c r="K44" i="88"/>
  <c r="M44" i="88" s="1"/>
  <c r="X43" i="88"/>
  <c r="W43" i="88"/>
  <c r="Y43" i="88"/>
  <c r="V43" i="88"/>
  <c r="R43" i="88"/>
  <c r="S43" i="88"/>
  <c r="Q43" i="88"/>
  <c r="P43" i="88"/>
  <c r="K43" i="88"/>
  <c r="M43" i="88"/>
  <c r="AB43" i="88"/>
  <c r="T42" i="88"/>
  <c r="V42" i="88" s="1"/>
  <c r="P42" i="88"/>
  <c r="R42" i="88"/>
  <c r="S42" i="88" s="1"/>
  <c r="K42" i="88"/>
  <c r="M42" i="88"/>
  <c r="X41" i="88"/>
  <c r="V41" i="88"/>
  <c r="W41" i="88" s="1"/>
  <c r="Y41" i="88" s="1"/>
  <c r="R41" i="88"/>
  <c r="S41" i="88" s="1"/>
  <c r="P41" i="88"/>
  <c r="Q41" i="88" s="1"/>
  <c r="K41" i="88"/>
  <c r="M41" i="88" s="1"/>
  <c r="V40" i="88"/>
  <c r="X40" i="88" s="1"/>
  <c r="W40" i="88"/>
  <c r="Y40" i="88" s="1"/>
  <c r="AB40" i="88" s="1"/>
  <c r="R40" i="88"/>
  <c r="S40" i="88"/>
  <c r="O40" i="88"/>
  <c r="P40" i="88"/>
  <c r="Q40" i="88"/>
  <c r="Z40" i="88"/>
  <c r="K40" i="88"/>
  <c r="M40" i="88" s="1"/>
  <c r="V39" i="88"/>
  <c r="P39" i="88"/>
  <c r="O39" i="88"/>
  <c r="K39" i="88"/>
  <c r="M39" i="88"/>
  <c r="V38" i="88"/>
  <c r="X38" i="88" s="1"/>
  <c r="W38" i="88"/>
  <c r="Y38" i="88"/>
  <c r="AB38" i="88" s="1"/>
  <c r="P38" i="88"/>
  <c r="R38" i="88" s="1"/>
  <c r="S38" i="88" s="1"/>
  <c r="Q38" i="88"/>
  <c r="Z38" i="88" s="1"/>
  <c r="K38" i="88"/>
  <c r="M38" i="88"/>
  <c r="V37" i="88"/>
  <c r="X37" i="88" s="1"/>
  <c r="P37" i="88"/>
  <c r="R37" i="88" s="1"/>
  <c r="S37" i="88" s="1"/>
  <c r="K37" i="88"/>
  <c r="M37" i="88" s="1"/>
  <c r="V36" i="88"/>
  <c r="T36" i="88"/>
  <c r="Q36" i="88"/>
  <c r="Z36" i="88" s="1"/>
  <c r="P36" i="88"/>
  <c r="R36" i="88" s="1"/>
  <c r="S36" i="88" s="1"/>
  <c r="K36" i="88"/>
  <c r="M36" i="88"/>
  <c r="V35" i="88"/>
  <c r="X35" i="88"/>
  <c r="O35" i="88"/>
  <c r="P35" i="88" s="1"/>
  <c r="AD35" i="88" s="1"/>
  <c r="K35" i="88"/>
  <c r="M35" i="88"/>
  <c r="X34" i="88"/>
  <c r="V34" i="88"/>
  <c r="W34" i="88"/>
  <c r="Y34" i="88"/>
  <c r="P34" i="88"/>
  <c r="R34" i="88" s="1"/>
  <c r="K34" i="88"/>
  <c r="M34" i="88"/>
  <c r="X33" i="88"/>
  <c r="AA33" i="88" s="1"/>
  <c r="V33" i="88"/>
  <c r="W33" i="88" s="1"/>
  <c r="Y33" i="88" s="1"/>
  <c r="AB33" i="88" s="1"/>
  <c r="P33" i="88"/>
  <c r="K33" i="88"/>
  <c r="M33" i="88"/>
  <c r="T32" i="88"/>
  <c r="V32" i="88" s="1"/>
  <c r="W32" i="88" s="1"/>
  <c r="Y32" i="88" s="1"/>
  <c r="AB32" i="88"/>
  <c r="P32" i="88"/>
  <c r="R32" i="88"/>
  <c r="S32" i="88" s="1"/>
  <c r="M32" i="88"/>
  <c r="K32" i="88"/>
  <c r="V31" i="88"/>
  <c r="X31" i="88"/>
  <c r="AA31" i="88"/>
  <c r="P31" i="88"/>
  <c r="Q31" i="88" s="1"/>
  <c r="Z31" i="88" s="1"/>
  <c r="R31" i="88"/>
  <c r="S31" i="88" s="1"/>
  <c r="K31" i="88"/>
  <c r="M31" i="88"/>
  <c r="AA30" i="88"/>
  <c r="U30" i="88"/>
  <c r="V30" i="88"/>
  <c r="X30" i="88" s="1"/>
  <c r="W30" i="88"/>
  <c r="Y30" i="88" s="1"/>
  <c r="AB30" i="88" s="1"/>
  <c r="O30" i="88"/>
  <c r="M30" i="88"/>
  <c r="K30" i="88"/>
  <c r="V29" i="88"/>
  <c r="X29" i="88"/>
  <c r="T29" i="88"/>
  <c r="Q29" i="88"/>
  <c r="P29" i="88"/>
  <c r="R29" i="88" s="1"/>
  <c r="S29" i="88" s="1"/>
  <c r="K29" i="88"/>
  <c r="M29" i="88"/>
  <c r="AA29" i="88" s="1"/>
  <c r="T28" i="88"/>
  <c r="P28" i="88"/>
  <c r="K28" i="88"/>
  <c r="M28" i="88" s="1"/>
  <c r="V27" i="88"/>
  <c r="W27" i="88" s="1"/>
  <c r="Y27" i="88" s="1"/>
  <c r="X27" i="88"/>
  <c r="AA27" i="88" s="1"/>
  <c r="P27" i="88"/>
  <c r="R27" i="88"/>
  <c r="S27" i="88"/>
  <c r="K27" i="88"/>
  <c r="M27" i="88"/>
  <c r="V26" i="88"/>
  <c r="P26" i="88"/>
  <c r="K26" i="88"/>
  <c r="M26" i="88" s="1"/>
  <c r="V25" i="88"/>
  <c r="P25" i="88"/>
  <c r="K25" i="88"/>
  <c r="M25" i="88" s="1"/>
  <c r="V24" i="88"/>
  <c r="P24" i="88"/>
  <c r="R24" i="88"/>
  <c r="S24" i="88" s="1"/>
  <c r="K24" i="88"/>
  <c r="M24" i="88"/>
  <c r="AD23" i="88"/>
  <c r="X23" i="88"/>
  <c r="V23" i="88"/>
  <c r="W23" i="88"/>
  <c r="Y23" i="88" s="1"/>
  <c r="R23" i="88"/>
  <c r="S23" i="88"/>
  <c r="P23" i="88"/>
  <c r="Q23" i="88"/>
  <c r="M23" i="88"/>
  <c r="Z23" i="88" s="1"/>
  <c r="K23" i="88"/>
  <c r="V22" i="88"/>
  <c r="P22" i="88"/>
  <c r="M22" i="88"/>
  <c r="K22" i="88"/>
  <c r="V21" i="88"/>
  <c r="P21" i="88"/>
  <c r="K21" i="88"/>
  <c r="AO20" i="88"/>
  <c r="AN20" i="88"/>
  <c r="AM20" i="88"/>
  <c r="AL20" i="88"/>
  <c r="AK20" i="88"/>
  <c r="AJ20" i="88"/>
  <c r="AI20" i="88"/>
  <c r="AH20" i="88"/>
  <c r="AG20" i="88"/>
  <c r="AF20" i="88"/>
  <c r="AE20" i="88"/>
  <c r="AC20" i="88"/>
  <c r="U20" i="88"/>
  <c r="N20" i="88"/>
  <c r="L20" i="88"/>
  <c r="J20" i="88"/>
  <c r="I20" i="88"/>
  <c r="H20" i="88"/>
  <c r="G20" i="88"/>
  <c r="F20" i="88"/>
  <c r="E20" i="88"/>
  <c r="D20" i="88"/>
  <c r="C20" i="88"/>
  <c r="P19" i="88"/>
  <c r="M19" i="88"/>
  <c r="V18" i="88"/>
  <c r="P18" i="88"/>
  <c r="Q18" i="88"/>
  <c r="Z18" i="88"/>
  <c r="O18" i="88"/>
  <c r="K18" i="88"/>
  <c r="M18" i="88"/>
  <c r="AD17" i="88"/>
  <c r="T17" i="88"/>
  <c r="V17" i="88"/>
  <c r="Q17" i="88"/>
  <c r="P17" i="88"/>
  <c r="R17" i="88"/>
  <c r="S17" i="88"/>
  <c r="M17" i="88"/>
  <c r="Z17" i="88" s="1"/>
  <c r="K17" i="88"/>
  <c r="U16" i="88"/>
  <c r="T16" i="88"/>
  <c r="P16" i="88"/>
  <c r="Q16" i="88" s="1"/>
  <c r="R16" i="88"/>
  <c r="S16" i="88"/>
  <c r="O16" i="88"/>
  <c r="K16" i="88"/>
  <c r="M16" i="88"/>
  <c r="V15" i="88"/>
  <c r="X15" i="88" s="1"/>
  <c r="U15" i="88"/>
  <c r="U6" i="88" s="1"/>
  <c r="P15" i="88"/>
  <c r="O15" i="88"/>
  <c r="K15" i="88"/>
  <c r="V14" i="88"/>
  <c r="X14" i="88"/>
  <c r="P14" i="88"/>
  <c r="AD14" i="88" s="1"/>
  <c r="K14" i="88"/>
  <c r="M14" i="88" s="1"/>
  <c r="AA14" i="88" s="1"/>
  <c r="X13" i="88"/>
  <c r="AA13" i="88" s="1"/>
  <c r="W13" i="88"/>
  <c r="Y13" i="88"/>
  <c r="V13" i="88"/>
  <c r="O13" i="88"/>
  <c r="P13" i="88"/>
  <c r="M13" i="88"/>
  <c r="AB13" i="88" s="1"/>
  <c r="K13" i="88"/>
  <c r="V12" i="88"/>
  <c r="P12" i="88"/>
  <c r="K12" i="88"/>
  <c r="M12" i="88"/>
  <c r="V11" i="88"/>
  <c r="X11" i="88" s="1"/>
  <c r="P11" i="88"/>
  <c r="R11" i="88"/>
  <c r="S11" i="88"/>
  <c r="O11" i="88"/>
  <c r="K11" i="88"/>
  <c r="M11" i="88"/>
  <c r="AD10" i="88"/>
  <c r="V10" i="88"/>
  <c r="X10" i="88" s="1"/>
  <c r="W10" i="88"/>
  <c r="Y10" i="88" s="1"/>
  <c r="R10" i="88"/>
  <c r="S10" i="88" s="1"/>
  <c r="P10" i="88"/>
  <c r="Q10" i="88"/>
  <c r="M10" i="88"/>
  <c r="Z10" i="88" s="1"/>
  <c r="K10" i="88"/>
  <c r="V9" i="88"/>
  <c r="P9" i="88"/>
  <c r="K9" i="88"/>
  <c r="M9" i="88"/>
  <c r="T8" i="88"/>
  <c r="O8" i="88"/>
  <c r="K8" i="88"/>
  <c r="M8" i="88" s="1"/>
  <c r="V7" i="88"/>
  <c r="O7" i="88"/>
  <c r="L7" i="88"/>
  <c r="K7" i="88"/>
  <c r="AN6" i="88"/>
  <c r="AM6" i="88"/>
  <c r="AL6" i="88"/>
  <c r="AK6" i="88"/>
  <c r="AJ6" i="88"/>
  <c r="AI6" i="88"/>
  <c r="AH6" i="88"/>
  <c r="AG6" i="88"/>
  <c r="AF6" i="88"/>
  <c r="AE6" i="88"/>
  <c r="AC6" i="88"/>
  <c r="N6" i="88"/>
  <c r="J6" i="88"/>
  <c r="I6" i="88"/>
  <c r="H6" i="88"/>
  <c r="G6" i="88"/>
  <c r="F6" i="88"/>
  <c r="E6" i="88"/>
  <c r="D6" i="88"/>
  <c r="C6" i="88"/>
  <c r="K102" i="85"/>
  <c r="K103" i="85"/>
  <c r="K104" i="85"/>
  <c r="K105" i="85"/>
  <c r="K101" i="85"/>
  <c r="M101" i="85" s="1"/>
  <c r="K48" i="85"/>
  <c r="K49" i="85"/>
  <c r="M49" i="85" s="1"/>
  <c r="K50" i="85"/>
  <c r="K51" i="85"/>
  <c r="K52" i="85"/>
  <c r="K53" i="85"/>
  <c r="M53" i="85" s="1"/>
  <c r="K54" i="85"/>
  <c r="K55" i="85"/>
  <c r="M55" i="85"/>
  <c r="K56" i="85"/>
  <c r="M56" i="85" s="1"/>
  <c r="K57" i="85"/>
  <c r="K58" i="85"/>
  <c r="K59" i="85"/>
  <c r="M59" i="85"/>
  <c r="K60" i="85"/>
  <c r="K61" i="85"/>
  <c r="K62" i="85"/>
  <c r="K63" i="85"/>
  <c r="M63" i="85" s="1"/>
  <c r="K64" i="85"/>
  <c r="K65" i="85"/>
  <c r="M65" i="85"/>
  <c r="K66" i="85"/>
  <c r="K67" i="85"/>
  <c r="M67" i="85" s="1"/>
  <c r="K68" i="85"/>
  <c r="M68" i="85"/>
  <c r="K69" i="85"/>
  <c r="M69" i="85" s="1"/>
  <c r="K70" i="85"/>
  <c r="K71" i="85"/>
  <c r="M71" i="85"/>
  <c r="K72" i="85"/>
  <c r="M72" i="85" s="1"/>
  <c r="K74" i="85"/>
  <c r="K75" i="85"/>
  <c r="M75" i="85"/>
  <c r="K76" i="85"/>
  <c r="M76" i="85" s="1"/>
  <c r="K77" i="85"/>
  <c r="K78" i="85"/>
  <c r="K79" i="85"/>
  <c r="K80" i="85"/>
  <c r="M80" i="85" s="1"/>
  <c r="K81" i="85"/>
  <c r="K82" i="85"/>
  <c r="K83" i="85"/>
  <c r="K84" i="85"/>
  <c r="M84" i="85" s="1"/>
  <c r="K85" i="85"/>
  <c r="K86" i="85"/>
  <c r="K87" i="85"/>
  <c r="K88" i="85"/>
  <c r="M88" i="85" s="1"/>
  <c r="K89" i="85"/>
  <c r="K91" i="85"/>
  <c r="M91" i="85"/>
  <c r="K92" i="85"/>
  <c r="M92" i="85" s="1"/>
  <c r="K93" i="85"/>
  <c r="K94" i="85"/>
  <c r="K95" i="85"/>
  <c r="M95" i="85"/>
  <c r="K96" i="85"/>
  <c r="K97" i="85"/>
  <c r="K98" i="85"/>
  <c r="K99" i="85"/>
  <c r="M99" i="85" s="1"/>
  <c r="K47" i="85"/>
  <c r="M47" i="85"/>
  <c r="K22" i="85"/>
  <c r="K23" i="85"/>
  <c r="K24" i="85"/>
  <c r="K25" i="85"/>
  <c r="M25" i="85"/>
  <c r="K26" i="85"/>
  <c r="K27" i="85"/>
  <c r="K28" i="85"/>
  <c r="K29" i="85"/>
  <c r="K30" i="85"/>
  <c r="K31" i="85"/>
  <c r="K32" i="85"/>
  <c r="K33" i="85"/>
  <c r="M33" i="85" s="1"/>
  <c r="K34" i="85"/>
  <c r="K35" i="85"/>
  <c r="K36" i="85"/>
  <c r="K37" i="85"/>
  <c r="K38" i="85"/>
  <c r="K39" i="85"/>
  <c r="K40" i="85"/>
  <c r="K41" i="85"/>
  <c r="M41" i="85"/>
  <c r="K42" i="85"/>
  <c r="K43" i="85"/>
  <c r="K44" i="85"/>
  <c r="M44" i="85"/>
  <c r="K45" i="85"/>
  <c r="M45" i="85"/>
  <c r="K21" i="85"/>
  <c r="S127" i="86"/>
  <c r="M127" i="86"/>
  <c r="S126" i="86"/>
  <c r="M126" i="86"/>
  <c r="S125" i="86"/>
  <c r="M125" i="86"/>
  <c r="S124" i="86"/>
  <c r="S121" i="86" s="1"/>
  <c r="M124" i="86"/>
  <c r="S123" i="86"/>
  <c r="M123" i="86"/>
  <c r="M121" i="86" s="1"/>
  <c r="S122" i="86"/>
  <c r="M122" i="86"/>
  <c r="AN121" i="86"/>
  <c r="AM121" i="86"/>
  <c r="AL121" i="86"/>
  <c r="AK121" i="86"/>
  <c r="AJ121" i="86"/>
  <c r="AI121" i="86"/>
  <c r="AH121" i="86"/>
  <c r="AG121" i="86"/>
  <c r="AF121" i="86"/>
  <c r="AE121" i="86"/>
  <c r="AD121" i="86"/>
  <c r="AC121" i="86"/>
  <c r="AB121" i="86"/>
  <c r="AA121" i="86"/>
  <c r="Z121" i="86"/>
  <c r="Y121" i="86"/>
  <c r="X121" i="86"/>
  <c r="W121" i="86"/>
  <c r="V121" i="86"/>
  <c r="U121" i="86"/>
  <c r="T121" i="86"/>
  <c r="R121" i="86"/>
  <c r="Q121" i="86"/>
  <c r="P121" i="86"/>
  <c r="O121" i="86"/>
  <c r="N121" i="86"/>
  <c r="L121" i="86"/>
  <c r="K121" i="86"/>
  <c r="J121" i="86"/>
  <c r="I121" i="86"/>
  <c r="H121" i="86"/>
  <c r="G121" i="86"/>
  <c r="F121" i="86"/>
  <c r="E121" i="86"/>
  <c r="D121" i="86"/>
  <c r="C121" i="86"/>
  <c r="V120" i="86"/>
  <c r="X120" i="86" s="1"/>
  <c r="K120" i="86"/>
  <c r="M120" i="86" s="1"/>
  <c r="V119" i="86"/>
  <c r="X119" i="86"/>
  <c r="K119" i="86"/>
  <c r="M119" i="86"/>
  <c r="V118" i="86"/>
  <c r="X118" i="86" s="1"/>
  <c r="K118" i="86"/>
  <c r="M118" i="86" s="1"/>
  <c r="T117" i="86"/>
  <c r="V117" i="86"/>
  <c r="X117" i="86" s="1"/>
  <c r="AA117" i="86" s="1"/>
  <c r="K117" i="86"/>
  <c r="M117" i="86" s="1"/>
  <c r="V116" i="86"/>
  <c r="X116" i="86" s="1"/>
  <c r="K116" i="86"/>
  <c r="M116" i="86" s="1"/>
  <c r="V115" i="86"/>
  <c r="X115" i="86" s="1"/>
  <c r="K115" i="86"/>
  <c r="M115" i="86"/>
  <c r="V114" i="86"/>
  <c r="X114" i="86"/>
  <c r="K114" i="86"/>
  <c r="M114" i="86"/>
  <c r="V113" i="86"/>
  <c r="X113" i="86" s="1"/>
  <c r="K113" i="86"/>
  <c r="M113" i="86" s="1"/>
  <c r="V112" i="86"/>
  <c r="X112" i="86"/>
  <c r="AA112" i="86" s="1"/>
  <c r="K112" i="86"/>
  <c r="M112" i="86" s="1"/>
  <c r="V111" i="86"/>
  <c r="X111" i="86" s="1"/>
  <c r="K111" i="86"/>
  <c r="M111" i="86" s="1"/>
  <c r="AA111" i="86" s="1"/>
  <c r="V110" i="86"/>
  <c r="X110" i="86" s="1"/>
  <c r="K110" i="86"/>
  <c r="V109" i="86"/>
  <c r="X109" i="86" s="1"/>
  <c r="AA109" i="86" s="1"/>
  <c r="K109" i="86"/>
  <c r="M109" i="86" s="1"/>
  <c r="V108" i="86"/>
  <c r="S108" i="86"/>
  <c r="P108" i="86"/>
  <c r="L108" i="86"/>
  <c r="J108" i="86"/>
  <c r="I108" i="86"/>
  <c r="H108" i="86"/>
  <c r="G108" i="86"/>
  <c r="F108" i="86"/>
  <c r="E108" i="86"/>
  <c r="D108" i="86"/>
  <c r="AD107" i="86"/>
  <c r="AD106" i="86" s="1"/>
  <c r="Z107" i="86"/>
  <c r="Z106" i="86" s="1"/>
  <c r="V107" i="86"/>
  <c r="S107" i="86"/>
  <c r="S106" i="86" s="1"/>
  <c r="Q107" i="86"/>
  <c r="Q106" i="86" s="1"/>
  <c r="P107" i="86"/>
  <c r="M107" i="86"/>
  <c r="M106" i="86"/>
  <c r="AN106" i="86"/>
  <c r="AM106" i="86"/>
  <c r="AL106" i="86"/>
  <c r="AK106" i="86"/>
  <c r="AI106" i="86"/>
  <c r="AH106" i="86"/>
  <c r="AG106" i="86"/>
  <c r="AF106" i="86"/>
  <c r="AE106" i="86"/>
  <c r="AC106" i="86"/>
  <c r="U106" i="86"/>
  <c r="T106" i="86"/>
  <c r="R106" i="86"/>
  <c r="P106" i="86"/>
  <c r="O106" i="86"/>
  <c r="N106" i="86"/>
  <c r="L106" i="86"/>
  <c r="K106" i="86"/>
  <c r="J106" i="86"/>
  <c r="I106" i="86"/>
  <c r="H106" i="86"/>
  <c r="G106" i="86"/>
  <c r="F106" i="86"/>
  <c r="E106" i="86"/>
  <c r="D106" i="86"/>
  <c r="C106" i="86"/>
  <c r="V105" i="86"/>
  <c r="P105" i="86"/>
  <c r="M105" i="86"/>
  <c r="K105" i="86"/>
  <c r="W104" i="86"/>
  <c r="Y104" i="86" s="1"/>
  <c r="V104" i="86"/>
  <c r="X104" i="86"/>
  <c r="AA104" i="86" s="1"/>
  <c r="P104" i="86"/>
  <c r="Q104" i="86" s="1"/>
  <c r="K104" i="86"/>
  <c r="M104" i="86" s="1"/>
  <c r="V103" i="86"/>
  <c r="Q103" i="86"/>
  <c r="O103" i="86"/>
  <c r="P103" i="86"/>
  <c r="K103" i="86"/>
  <c r="V102" i="86"/>
  <c r="P102" i="86"/>
  <c r="O102" i="86"/>
  <c r="Q102" i="86"/>
  <c r="S102" i="86" s="1"/>
  <c r="AD102" i="86" s="1"/>
  <c r="K102" i="86"/>
  <c r="M102" i="86" s="1"/>
  <c r="V101" i="86"/>
  <c r="X101" i="86" s="1"/>
  <c r="P101" i="86"/>
  <c r="R101" i="86"/>
  <c r="O101" i="86"/>
  <c r="Q101" i="86"/>
  <c r="K101" i="86"/>
  <c r="M101" i="86"/>
  <c r="AN100" i="86"/>
  <c r="AM100" i="86"/>
  <c r="AL100" i="86"/>
  <c r="AK100" i="86"/>
  <c r="AJ100" i="86"/>
  <c r="AI100" i="86"/>
  <c r="AH100" i="86"/>
  <c r="AG100" i="86"/>
  <c r="AF100" i="86"/>
  <c r="AE100" i="86"/>
  <c r="AC100" i="86"/>
  <c r="U100" i="86"/>
  <c r="T100" i="86"/>
  <c r="O100" i="86"/>
  <c r="N100" i="86"/>
  <c r="L100" i="86"/>
  <c r="J100" i="86"/>
  <c r="I100" i="86"/>
  <c r="H100" i="86"/>
  <c r="G100" i="86"/>
  <c r="F100" i="86"/>
  <c r="E100" i="86"/>
  <c r="D100" i="86"/>
  <c r="C100" i="86"/>
  <c r="AA99" i="86"/>
  <c r="V99" i="86"/>
  <c r="X99" i="86" s="1"/>
  <c r="W99" i="86"/>
  <c r="Y99" i="86" s="1"/>
  <c r="S99" i="86"/>
  <c r="P99" i="86"/>
  <c r="K99" i="86"/>
  <c r="M99" i="86"/>
  <c r="Z99" i="86" s="1"/>
  <c r="T98" i="86"/>
  <c r="V98" i="86" s="1"/>
  <c r="N98" i="86"/>
  <c r="P98" i="86" s="1"/>
  <c r="K98" i="86"/>
  <c r="M98" i="86" s="1"/>
  <c r="V97" i="86"/>
  <c r="P97" i="86"/>
  <c r="K97" i="86"/>
  <c r="M97" i="86"/>
  <c r="V96" i="86"/>
  <c r="P96" i="86"/>
  <c r="K96" i="86"/>
  <c r="M96" i="86" s="1"/>
  <c r="V95" i="86"/>
  <c r="X95" i="86" s="1"/>
  <c r="P95" i="86"/>
  <c r="R95" i="86" s="1"/>
  <c r="S95" i="86" s="1"/>
  <c r="Q95" i="86"/>
  <c r="K95" i="86"/>
  <c r="V94" i="86"/>
  <c r="W94" i="86" s="1"/>
  <c r="Y94" i="86" s="1"/>
  <c r="AB94" i="86" s="1"/>
  <c r="X94" i="86"/>
  <c r="AA94" i="86" s="1"/>
  <c r="N94" i="86"/>
  <c r="K94" i="86"/>
  <c r="M94" i="86"/>
  <c r="Y93" i="86"/>
  <c r="AB93" i="86" s="1"/>
  <c r="V93" i="86"/>
  <c r="W93" i="86" s="1"/>
  <c r="Q93" i="86"/>
  <c r="P93" i="86"/>
  <c r="R93" i="86"/>
  <c r="S93" i="86" s="1"/>
  <c r="M93" i="86"/>
  <c r="Z93" i="86" s="1"/>
  <c r="K93" i="86"/>
  <c r="X92" i="86"/>
  <c r="V92" i="86"/>
  <c r="W92" i="86"/>
  <c r="P92" i="86"/>
  <c r="R92" i="86" s="1"/>
  <c r="S92" i="86" s="1"/>
  <c r="Q92" i="86"/>
  <c r="K92" i="86"/>
  <c r="M92" i="86"/>
  <c r="W91" i="86"/>
  <c r="Y91" i="86" s="1"/>
  <c r="V91" i="86"/>
  <c r="X91" i="86"/>
  <c r="P91" i="86"/>
  <c r="Q91" i="86" s="1"/>
  <c r="R91" i="86"/>
  <c r="K91" i="86"/>
  <c r="M91" i="86" s="1"/>
  <c r="AM90" i="86"/>
  <c r="AL90" i="86"/>
  <c r="AK90" i="86"/>
  <c r="AJ90" i="86"/>
  <c r="AI90" i="86"/>
  <c r="AH90" i="86"/>
  <c r="AG90" i="86"/>
  <c r="AF90" i="86"/>
  <c r="AE90" i="86"/>
  <c r="AD90" i="86"/>
  <c r="AC90" i="86"/>
  <c r="U90" i="86"/>
  <c r="T90" i="86"/>
  <c r="O90" i="86"/>
  <c r="L90" i="86"/>
  <c r="J90" i="86"/>
  <c r="I90" i="86"/>
  <c r="H90" i="86"/>
  <c r="G90" i="86"/>
  <c r="F90" i="86"/>
  <c r="E90" i="86"/>
  <c r="D90" i="86"/>
  <c r="C90" i="86"/>
  <c r="T89" i="86"/>
  <c r="V89" i="86" s="1"/>
  <c r="X89" i="86" s="1"/>
  <c r="AA89" i="86" s="1"/>
  <c r="P89" i="86"/>
  <c r="Q89" i="86" s="1"/>
  <c r="Z89" i="86"/>
  <c r="K89" i="86"/>
  <c r="M89" i="86"/>
  <c r="V88" i="86"/>
  <c r="W88" i="86" s="1"/>
  <c r="Y88" i="86" s="1"/>
  <c r="AB88" i="86" s="1"/>
  <c r="P88" i="86"/>
  <c r="Q88" i="86" s="1"/>
  <c r="Z88" i="86" s="1"/>
  <c r="R88" i="86"/>
  <c r="S88" i="86" s="1"/>
  <c r="M88" i="86"/>
  <c r="K88" i="86"/>
  <c r="V87" i="86"/>
  <c r="W87" i="86" s="1"/>
  <c r="Y87" i="86" s="1"/>
  <c r="AB87" i="86" s="1"/>
  <c r="P87" i="86"/>
  <c r="K87" i="86"/>
  <c r="M87" i="86"/>
  <c r="V86" i="86"/>
  <c r="W86" i="86" s="1"/>
  <c r="Y86" i="86" s="1"/>
  <c r="AB86" i="86" s="1"/>
  <c r="P86" i="86"/>
  <c r="Q86" i="86" s="1"/>
  <c r="Z86" i="86" s="1"/>
  <c r="R86" i="86"/>
  <c r="S86" i="86" s="1"/>
  <c r="M86" i="86"/>
  <c r="K86" i="86"/>
  <c r="AB85" i="86"/>
  <c r="V85" i="86"/>
  <c r="W85" i="86"/>
  <c r="Y85" i="86" s="1"/>
  <c r="P85" i="86"/>
  <c r="Q85" i="86" s="1"/>
  <c r="Z85" i="86" s="1"/>
  <c r="K85" i="86"/>
  <c r="M85" i="86"/>
  <c r="V84" i="86"/>
  <c r="W84" i="86" s="1"/>
  <c r="Y84" i="86" s="1"/>
  <c r="X84" i="86"/>
  <c r="AA84" i="86" s="1"/>
  <c r="P84" i="86"/>
  <c r="Q84" i="86" s="1"/>
  <c r="K84" i="86"/>
  <c r="M84" i="86" s="1"/>
  <c r="V83" i="86"/>
  <c r="P83" i="86"/>
  <c r="K83" i="86"/>
  <c r="M83" i="86"/>
  <c r="V82" i="86"/>
  <c r="P82" i="86"/>
  <c r="K82" i="86"/>
  <c r="M82" i="86" s="1"/>
  <c r="V81" i="86"/>
  <c r="P81" i="86"/>
  <c r="K81" i="86"/>
  <c r="M81" i="86" s="1"/>
  <c r="V80" i="86"/>
  <c r="P80" i="86"/>
  <c r="R80" i="86" s="1"/>
  <c r="S80" i="86" s="1"/>
  <c r="K80" i="86"/>
  <c r="T79" i="86"/>
  <c r="P79" i="86"/>
  <c r="M79" i="86"/>
  <c r="K79" i="86"/>
  <c r="V78" i="86"/>
  <c r="O78" i="86"/>
  <c r="P78" i="86" s="1"/>
  <c r="K78" i="86"/>
  <c r="M78" i="86" s="1"/>
  <c r="W77" i="86"/>
  <c r="Y77" i="86" s="1"/>
  <c r="AB77" i="86" s="1"/>
  <c r="V77" i="86"/>
  <c r="X77" i="86" s="1"/>
  <c r="O77" i="86"/>
  <c r="O73" i="86" s="1"/>
  <c r="P77" i="86"/>
  <c r="K77" i="86"/>
  <c r="M77" i="86"/>
  <c r="V76" i="86"/>
  <c r="P76" i="86"/>
  <c r="K76" i="86"/>
  <c r="M76" i="86" s="1"/>
  <c r="M73" i="86" s="1"/>
  <c r="V75" i="86"/>
  <c r="W75" i="86" s="1"/>
  <c r="Y75" i="86" s="1"/>
  <c r="X75" i="86"/>
  <c r="P75" i="86"/>
  <c r="Q75" i="86" s="1"/>
  <c r="R75" i="86"/>
  <c r="S75" i="86" s="1"/>
  <c r="K75" i="86"/>
  <c r="M75" i="86" s="1"/>
  <c r="AA75" i="86" s="1"/>
  <c r="W74" i="86"/>
  <c r="Y74" i="86" s="1"/>
  <c r="AB74" i="86"/>
  <c r="V74" i="86"/>
  <c r="X74" i="86" s="1"/>
  <c r="AA74" i="86" s="1"/>
  <c r="R74" i="86"/>
  <c r="S74" i="86" s="1"/>
  <c r="Q74" i="86"/>
  <c r="P74" i="86"/>
  <c r="K74" i="86"/>
  <c r="M74" i="86" s="1"/>
  <c r="AN73" i="86"/>
  <c r="AM73" i="86"/>
  <c r="AL73" i="86"/>
  <c r="AK73" i="86"/>
  <c r="AJ73" i="86"/>
  <c r="AI73" i="86"/>
  <c r="AH73" i="86"/>
  <c r="AG73" i="86"/>
  <c r="AF73" i="86"/>
  <c r="AE73" i="86"/>
  <c r="AC73" i="86"/>
  <c r="U73" i="86"/>
  <c r="N73" i="86"/>
  <c r="L73" i="86"/>
  <c r="J73" i="86"/>
  <c r="I73" i="86"/>
  <c r="H73" i="86"/>
  <c r="G73" i="86"/>
  <c r="F73" i="86"/>
  <c r="E73" i="86"/>
  <c r="D73" i="86"/>
  <c r="C73" i="86"/>
  <c r="V72" i="86"/>
  <c r="P72" i="86"/>
  <c r="K72" i="86"/>
  <c r="M72" i="86" s="1"/>
  <c r="Y71" i="86"/>
  <c r="V71" i="86"/>
  <c r="W71" i="86" s="1"/>
  <c r="X71" i="86"/>
  <c r="AA71" i="86" s="1"/>
  <c r="P71" i="86"/>
  <c r="K71" i="86"/>
  <c r="M71" i="86"/>
  <c r="W70" i="86"/>
  <c r="Y70" i="86" s="1"/>
  <c r="V70" i="86"/>
  <c r="X70" i="86" s="1"/>
  <c r="P70" i="86"/>
  <c r="Q70" i="86" s="1"/>
  <c r="K70" i="86"/>
  <c r="M70" i="86"/>
  <c r="Z70" i="86" s="1"/>
  <c r="V69" i="86"/>
  <c r="R69" i="86"/>
  <c r="S69" i="86" s="1"/>
  <c r="P69" i="86"/>
  <c r="Q69" i="86"/>
  <c r="K69" i="86"/>
  <c r="M69" i="86"/>
  <c r="V68" i="86"/>
  <c r="P68" i="86"/>
  <c r="K68" i="86"/>
  <c r="M68" i="86" s="1"/>
  <c r="V67" i="86"/>
  <c r="P67" i="86"/>
  <c r="K67" i="86"/>
  <c r="M67" i="86"/>
  <c r="X66" i="86"/>
  <c r="V66" i="86"/>
  <c r="W66" i="86"/>
  <c r="Y66" i="86" s="1"/>
  <c r="AB66" i="86" s="1"/>
  <c r="P66" i="86"/>
  <c r="K66" i="86"/>
  <c r="M66" i="86" s="1"/>
  <c r="AA66" i="86" s="1"/>
  <c r="V65" i="86"/>
  <c r="X65" i="86" s="1"/>
  <c r="AA65" i="86" s="1"/>
  <c r="P65" i="86"/>
  <c r="K65" i="86"/>
  <c r="M65" i="86" s="1"/>
  <c r="K64" i="86"/>
  <c r="V63" i="86"/>
  <c r="T63" i="86"/>
  <c r="R63" i="86"/>
  <c r="S63" i="86" s="1"/>
  <c r="Q63" i="86"/>
  <c r="P63" i="86"/>
  <c r="K63" i="86"/>
  <c r="M63" i="86" s="1"/>
  <c r="Z63" i="86" s="1"/>
  <c r="V62" i="86"/>
  <c r="P62" i="86"/>
  <c r="R62" i="86" s="1"/>
  <c r="S62" i="86" s="1"/>
  <c r="K62" i="86"/>
  <c r="M62" i="86" s="1"/>
  <c r="T61" i="86"/>
  <c r="V61" i="86" s="1"/>
  <c r="Q61" i="86"/>
  <c r="Z61" i="86" s="1"/>
  <c r="P61" i="86"/>
  <c r="R61" i="86" s="1"/>
  <c r="S61" i="86" s="1"/>
  <c r="K61" i="86"/>
  <c r="M61" i="86" s="1"/>
  <c r="U60" i="86"/>
  <c r="V60" i="86"/>
  <c r="P60" i="86"/>
  <c r="M60" i="86"/>
  <c r="K60" i="86"/>
  <c r="V59" i="86"/>
  <c r="X59" i="86" s="1"/>
  <c r="P59" i="86"/>
  <c r="K59" i="86"/>
  <c r="M59" i="86"/>
  <c r="V58" i="86"/>
  <c r="P58" i="86"/>
  <c r="K58" i="86"/>
  <c r="M58" i="86"/>
  <c r="T57" i="86"/>
  <c r="P57" i="86"/>
  <c r="R57" i="86" s="1"/>
  <c r="S57" i="86" s="1"/>
  <c r="AD57" i="86"/>
  <c r="K57" i="86"/>
  <c r="M57" i="86"/>
  <c r="T56" i="86"/>
  <c r="P56" i="86"/>
  <c r="Q56" i="86"/>
  <c r="Z56" i="86" s="1"/>
  <c r="R56" i="86"/>
  <c r="S56" i="86" s="1"/>
  <c r="K56" i="86"/>
  <c r="M56" i="86" s="1"/>
  <c r="V55" i="86"/>
  <c r="O55" i="86"/>
  <c r="P55" i="86" s="1"/>
  <c r="K55" i="86"/>
  <c r="M55" i="86"/>
  <c r="V54" i="86"/>
  <c r="P54" i="86"/>
  <c r="K54" i="86"/>
  <c r="M54" i="86"/>
  <c r="V53" i="86"/>
  <c r="X53" i="86"/>
  <c r="P53" i="86"/>
  <c r="R53" i="86"/>
  <c r="S53" i="86" s="1"/>
  <c r="K53" i="86"/>
  <c r="M53" i="86" s="1"/>
  <c r="V52" i="86"/>
  <c r="R52" i="86"/>
  <c r="S52" i="86" s="1"/>
  <c r="P52" i="86"/>
  <c r="AD52" i="86" s="1"/>
  <c r="V51" i="86"/>
  <c r="X51" i="86" s="1"/>
  <c r="AA51" i="86" s="1"/>
  <c r="P51" i="86"/>
  <c r="R51" i="86"/>
  <c r="S51" i="86" s="1"/>
  <c r="V50" i="86"/>
  <c r="P50" i="86"/>
  <c r="R50" i="86"/>
  <c r="S50" i="86" s="1"/>
  <c r="Q50" i="86"/>
  <c r="K50" i="86"/>
  <c r="M50" i="86"/>
  <c r="V49" i="86"/>
  <c r="X49" i="86" s="1"/>
  <c r="AA49" i="86" s="1"/>
  <c r="P49" i="86"/>
  <c r="K49" i="86"/>
  <c r="M49" i="86" s="1"/>
  <c r="V48" i="86"/>
  <c r="W48" i="86"/>
  <c r="Y48" i="86" s="1"/>
  <c r="O48" i="86"/>
  <c r="O46" i="86" s="1"/>
  <c r="M48" i="86"/>
  <c r="K48" i="86"/>
  <c r="V47" i="86"/>
  <c r="X47" i="86" s="1"/>
  <c r="Q47" i="86"/>
  <c r="P47" i="86"/>
  <c r="K47" i="86"/>
  <c r="M47" i="86" s="1"/>
  <c r="AN46" i="86"/>
  <c r="AM46" i="86"/>
  <c r="AL46" i="86"/>
  <c r="AK46" i="86"/>
  <c r="AJ46" i="86"/>
  <c r="AI46" i="86"/>
  <c r="AH46" i="86"/>
  <c r="AG46" i="86"/>
  <c r="AF46" i="86"/>
  <c r="AE46" i="86"/>
  <c r="AC46" i="86"/>
  <c r="N46" i="86"/>
  <c r="L46" i="86"/>
  <c r="J46" i="86"/>
  <c r="I46" i="86"/>
  <c r="H46" i="86"/>
  <c r="G46" i="86"/>
  <c r="F46" i="86"/>
  <c r="E46" i="86"/>
  <c r="D46" i="86"/>
  <c r="C46" i="86"/>
  <c r="T45" i="86"/>
  <c r="V45" i="86"/>
  <c r="X45" i="86" s="1"/>
  <c r="AA45" i="86" s="1"/>
  <c r="P45" i="86"/>
  <c r="K45" i="86"/>
  <c r="M45" i="86" s="1"/>
  <c r="V44" i="86"/>
  <c r="X44" i="86" s="1"/>
  <c r="Q44" i="86"/>
  <c r="Z44" i="86" s="1"/>
  <c r="P44" i="86"/>
  <c r="R44" i="86"/>
  <c r="S44" i="86" s="1"/>
  <c r="K44" i="86"/>
  <c r="M44" i="86" s="1"/>
  <c r="W43" i="86"/>
  <c r="Y43" i="86" s="1"/>
  <c r="V43" i="86"/>
  <c r="X43" i="86" s="1"/>
  <c r="P43" i="86"/>
  <c r="R43" i="86"/>
  <c r="S43" i="86" s="1"/>
  <c r="K43" i="86"/>
  <c r="M43" i="86" s="1"/>
  <c r="T42" i="86"/>
  <c r="V42" i="86" s="1"/>
  <c r="P42" i="86"/>
  <c r="AD42" i="86" s="1"/>
  <c r="K42" i="86"/>
  <c r="M42" i="86" s="1"/>
  <c r="Y41" i="86"/>
  <c r="V41" i="86"/>
  <c r="W41" i="86"/>
  <c r="P41" i="86"/>
  <c r="R41" i="86" s="1"/>
  <c r="S41" i="86" s="1"/>
  <c r="Q41" i="86"/>
  <c r="K41" i="86"/>
  <c r="M41" i="86"/>
  <c r="V40" i="86"/>
  <c r="X40" i="86" s="1"/>
  <c r="O40" i="86"/>
  <c r="P40" i="86" s="1"/>
  <c r="Q40" i="86" s="1"/>
  <c r="R40" i="86"/>
  <c r="S40" i="86" s="1"/>
  <c r="M40" i="86"/>
  <c r="K40" i="86"/>
  <c r="V39" i="86"/>
  <c r="X39" i="86" s="1"/>
  <c r="O39" i="86"/>
  <c r="P39" i="86"/>
  <c r="Q39" i="86" s="1"/>
  <c r="Z39" i="86" s="1"/>
  <c r="K39" i="86"/>
  <c r="M39" i="86"/>
  <c r="V38" i="86"/>
  <c r="X38" i="86"/>
  <c r="P38" i="86"/>
  <c r="Q38" i="86" s="1"/>
  <c r="K38" i="86"/>
  <c r="M38" i="86" s="1"/>
  <c r="AA38" i="86" s="1"/>
  <c r="V37" i="86"/>
  <c r="P37" i="86"/>
  <c r="R37" i="86"/>
  <c r="S37" i="86" s="1"/>
  <c r="Q37" i="86"/>
  <c r="K37" i="86"/>
  <c r="M37" i="86"/>
  <c r="T36" i="86"/>
  <c r="V36" i="86"/>
  <c r="P36" i="86"/>
  <c r="R36" i="86"/>
  <c r="S36" i="86" s="1"/>
  <c r="K36" i="86"/>
  <c r="M36" i="86" s="1"/>
  <c r="V35" i="86"/>
  <c r="O35" i="86"/>
  <c r="P35" i="86"/>
  <c r="R35" i="86" s="1"/>
  <c r="S35" i="86" s="1"/>
  <c r="K35" i="86"/>
  <c r="M35" i="86"/>
  <c r="V34" i="86"/>
  <c r="X34" i="86" s="1"/>
  <c r="P34" i="86"/>
  <c r="R34" i="86" s="1"/>
  <c r="K34" i="86"/>
  <c r="M34" i="86"/>
  <c r="V33" i="86"/>
  <c r="X33" i="86"/>
  <c r="P33" i="86"/>
  <c r="R33" i="86"/>
  <c r="S33" i="86" s="1"/>
  <c r="K33" i="86"/>
  <c r="M33" i="86" s="1"/>
  <c r="T32" i="86"/>
  <c r="V32" i="86" s="1"/>
  <c r="P32" i="86"/>
  <c r="K32" i="86"/>
  <c r="M32" i="86"/>
  <c r="V31" i="86"/>
  <c r="P31" i="86"/>
  <c r="K31" i="86"/>
  <c r="M31" i="86" s="1"/>
  <c r="U30" i="86"/>
  <c r="U20" i="86" s="1"/>
  <c r="O30" i="86"/>
  <c r="P30" i="86"/>
  <c r="K30" i="86"/>
  <c r="M30" i="86"/>
  <c r="T29" i="86"/>
  <c r="P29" i="86"/>
  <c r="R29" i="86" s="1"/>
  <c r="S29" i="86" s="1"/>
  <c r="K29" i="86"/>
  <c r="M29" i="86"/>
  <c r="T28" i="86"/>
  <c r="V28" i="86"/>
  <c r="P28" i="86"/>
  <c r="Q28" i="86"/>
  <c r="Z28" i="86" s="1"/>
  <c r="K28" i="86"/>
  <c r="M28" i="86" s="1"/>
  <c r="W27" i="86"/>
  <c r="Y27" i="86" s="1"/>
  <c r="AB27" i="86" s="1"/>
  <c r="V27" i="86"/>
  <c r="X27" i="86"/>
  <c r="AA27" i="86" s="1"/>
  <c r="P27" i="86"/>
  <c r="K27" i="86"/>
  <c r="M27" i="86"/>
  <c r="W26" i="86"/>
  <c r="Y26" i="86" s="1"/>
  <c r="V26" i="86"/>
  <c r="X26" i="86" s="1"/>
  <c r="P26" i="86"/>
  <c r="K26" i="86"/>
  <c r="M26" i="86" s="1"/>
  <c r="V25" i="86"/>
  <c r="W25" i="86" s="1"/>
  <c r="Y25" i="86" s="1"/>
  <c r="AB25" i="86" s="1"/>
  <c r="X25" i="86"/>
  <c r="P25" i="86"/>
  <c r="K25" i="86"/>
  <c r="M25" i="86"/>
  <c r="V24" i="86"/>
  <c r="W24" i="86" s="1"/>
  <c r="Y24" i="86" s="1"/>
  <c r="AB24" i="86" s="1"/>
  <c r="Q24" i="86"/>
  <c r="Z24" i="86" s="1"/>
  <c r="P24" i="86"/>
  <c r="R24" i="86" s="1"/>
  <c r="S24" i="86" s="1"/>
  <c r="K24" i="86"/>
  <c r="M24" i="86" s="1"/>
  <c r="AD23" i="86"/>
  <c r="V23" i="86"/>
  <c r="Q23" i="86"/>
  <c r="P23" i="86"/>
  <c r="R23" i="86" s="1"/>
  <c r="S23" i="86" s="1"/>
  <c r="K23" i="86"/>
  <c r="M23" i="86"/>
  <c r="V22" i="86"/>
  <c r="X22" i="86" s="1"/>
  <c r="P22" i="86"/>
  <c r="R22" i="86" s="1"/>
  <c r="S22" i="86" s="1"/>
  <c r="Q22" i="86"/>
  <c r="K22" i="86"/>
  <c r="M22" i="86"/>
  <c r="V21" i="86"/>
  <c r="X21" i="86"/>
  <c r="P21" i="86"/>
  <c r="AD21" i="86"/>
  <c r="K21" i="86"/>
  <c r="M21" i="86"/>
  <c r="AO20" i="86"/>
  <c r="AN20" i="86"/>
  <c r="AM20" i="86"/>
  <c r="AL20" i="86"/>
  <c r="AK20" i="86"/>
  <c r="AJ20" i="86"/>
  <c r="AI20" i="86"/>
  <c r="AH20" i="86"/>
  <c r="AG20" i="86"/>
  <c r="AF20" i="86"/>
  <c r="AE20" i="86"/>
  <c r="AC20" i="86"/>
  <c r="N20" i="86"/>
  <c r="L20" i="86"/>
  <c r="J20" i="86"/>
  <c r="I20" i="86"/>
  <c r="H20" i="86"/>
  <c r="G20" i="86"/>
  <c r="F20" i="86"/>
  <c r="E20" i="86"/>
  <c r="D20" i="86"/>
  <c r="C20" i="86"/>
  <c r="P19" i="86"/>
  <c r="M19" i="86"/>
  <c r="V18" i="86"/>
  <c r="O18" i="86"/>
  <c r="P18" i="86"/>
  <c r="K18" i="86"/>
  <c r="M18" i="86"/>
  <c r="AB17" i="86"/>
  <c r="T17" i="86"/>
  <c r="V17" i="86"/>
  <c r="W17" i="86" s="1"/>
  <c r="Y17" i="86" s="1"/>
  <c r="P17" i="86"/>
  <c r="M17" i="86"/>
  <c r="K17" i="86"/>
  <c r="U16" i="86"/>
  <c r="T16" i="86"/>
  <c r="O16" i="86"/>
  <c r="P16" i="86" s="1"/>
  <c r="K16" i="86"/>
  <c r="M16" i="86" s="1"/>
  <c r="U15" i="86"/>
  <c r="U6" i="86" s="1"/>
  <c r="U128" i="86" s="1"/>
  <c r="O15" i="86"/>
  <c r="P15" i="86" s="1"/>
  <c r="K15" i="86"/>
  <c r="M15" i="86" s="1"/>
  <c r="V14" i="86"/>
  <c r="X14" i="86" s="1"/>
  <c r="W14" i="86"/>
  <c r="Y14" i="86" s="1"/>
  <c r="S14" i="86"/>
  <c r="P14" i="86"/>
  <c r="R14" i="86" s="1"/>
  <c r="Q14" i="86"/>
  <c r="K14" i="86"/>
  <c r="M14" i="86" s="1"/>
  <c r="V13" i="86"/>
  <c r="X13" i="86" s="1"/>
  <c r="O13" i="86"/>
  <c r="P13" i="86"/>
  <c r="AD13" i="86" s="1"/>
  <c r="M13" i="86"/>
  <c r="K13" i="86"/>
  <c r="V12" i="86"/>
  <c r="P12" i="86"/>
  <c r="R12" i="86" s="1"/>
  <c r="S12" i="86" s="1"/>
  <c r="K12" i="86"/>
  <c r="M12" i="86"/>
  <c r="V11" i="86"/>
  <c r="X11" i="86" s="1"/>
  <c r="O11" i="86"/>
  <c r="P11" i="86" s="1"/>
  <c r="K11" i="86"/>
  <c r="M11" i="86" s="1"/>
  <c r="AD10" i="86"/>
  <c r="V10" i="86"/>
  <c r="W10" i="86" s="1"/>
  <c r="Y10" i="86" s="1"/>
  <c r="AB10" i="86" s="1"/>
  <c r="X10" i="86"/>
  <c r="AA10" i="86" s="1"/>
  <c r="P10" i="86"/>
  <c r="R10" i="86" s="1"/>
  <c r="S10" i="86" s="1"/>
  <c r="M10" i="86"/>
  <c r="K10" i="86"/>
  <c r="V9" i="86"/>
  <c r="W9" i="86" s="1"/>
  <c r="Y9" i="86" s="1"/>
  <c r="X9" i="86"/>
  <c r="Q9" i="86"/>
  <c r="P9" i="86"/>
  <c r="R9" i="86" s="1"/>
  <c r="S9" i="86" s="1"/>
  <c r="AD9" i="86"/>
  <c r="K9" i="86"/>
  <c r="M9" i="86"/>
  <c r="AB9" i="86" s="1"/>
  <c r="T8" i="86"/>
  <c r="T6" i="86"/>
  <c r="O8" i="86"/>
  <c r="P8" i="86" s="1"/>
  <c r="K8" i="86"/>
  <c r="M8" i="86"/>
  <c r="V7" i="86"/>
  <c r="X7" i="86" s="1"/>
  <c r="O7" i="86"/>
  <c r="P7" i="86" s="1"/>
  <c r="L7" i="86"/>
  <c r="L6" i="86" s="1"/>
  <c r="K7" i="86"/>
  <c r="AN6" i="86"/>
  <c r="AM6" i="86"/>
  <c r="AL6" i="86"/>
  <c r="AK6" i="86"/>
  <c r="AJ6" i="86"/>
  <c r="AI6" i="86"/>
  <c r="AH6" i="86"/>
  <c r="AG6" i="86"/>
  <c r="AF6" i="86"/>
  <c r="AE6" i="86"/>
  <c r="AC6" i="86"/>
  <c r="N6" i="86"/>
  <c r="J6" i="86"/>
  <c r="I6" i="86"/>
  <c r="H6" i="86"/>
  <c r="G6" i="86"/>
  <c r="F6" i="86"/>
  <c r="E6" i="86"/>
  <c r="D6" i="86"/>
  <c r="C6" i="86"/>
  <c r="S127" i="85"/>
  <c r="M127" i="85"/>
  <c r="S126" i="85"/>
  <c r="M126" i="85"/>
  <c r="S125" i="85"/>
  <c r="M125" i="85"/>
  <c r="S124" i="85"/>
  <c r="M124" i="85"/>
  <c r="S123" i="85"/>
  <c r="M123" i="85"/>
  <c r="S122" i="85"/>
  <c r="S121" i="85" s="1"/>
  <c r="M122" i="85"/>
  <c r="M121" i="85" s="1"/>
  <c r="AN121" i="85"/>
  <c r="AM121" i="85"/>
  <c r="AL121" i="85"/>
  <c r="AK121" i="85"/>
  <c r="AJ121" i="85"/>
  <c r="AI121" i="85"/>
  <c r="AH121" i="85"/>
  <c r="AG121" i="85"/>
  <c r="AF121" i="85"/>
  <c r="AE121" i="85"/>
  <c r="AD121" i="85"/>
  <c r="AC121" i="85"/>
  <c r="AB121" i="85"/>
  <c r="AA121" i="85"/>
  <c r="Z121" i="85"/>
  <c r="Y121" i="85"/>
  <c r="X121" i="85"/>
  <c r="W121" i="85"/>
  <c r="V121" i="85"/>
  <c r="U121" i="85"/>
  <c r="T121" i="85"/>
  <c r="R121" i="85"/>
  <c r="Q121" i="85"/>
  <c r="P121" i="85"/>
  <c r="O121" i="85"/>
  <c r="N121" i="85"/>
  <c r="L121" i="85"/>
  <c r="K121" i="85"/>
  <c r="J121" i="85"/>
  <c r="I121" i="85"/>
  <c r="H121" i="85"/>
  <c r="G121" i="85"/>
  <c r="F121" i="85"/>
  <c r="E121" i="85"/>
  <c r="E128" i="85" s="1"/>
  <c r="D121" i="85"/>
  <c r="C121" i="85"/>
  <c r="V120" i="85"/>
  <c r="X120" i="85"/>
  <c r="AA120" i="85" s="1"/>
  <c r="K120" i="85"/>
  <c r="M120" i="85" s="1"/>
  <c r="V119" i="85"/>
  <c r="X119" i="85" s="1"/>
  <c r="K119" i="85"/>
  <c r="M119" i="85"/>
  <c r="V118" i="85"/>
  <c r="X118" i="85" s="1"/>
  <c r="AA118" i="85" s="1"/>
  <c r="K118" i="85"/>
  <c r="M118" i="85" s="1"/>
  <c r="T117" i="85"/>
  <c r="V117" i="85" s="1"/>
  <c r="X117" i="85"/>
  <c r="AA117" i="85" s="1"/>
  <c r="M117" i="85"/>
  <c r="K117" i="85"/>
  <c r="V116" i="85"/>
  <c r="X116" i="85" s="1"/>
  <c r="AA116" i="85"/>
  <c r="K116" i="85"/>
  <c r="M116" i="85"/>
  <c r="V115" i="85"/>
  <c r="X115" i="85" s="1"/>
  <c r="AA115" i="85" s="1"/>
  <c r="K115" i="85"/>
  <c r="M115" i="85" s="1"/>
  <c r="V114" i="85"/>
  <c r="X114" i="85" s="1"/>
  <c r="K114" i="85"/>
  <c r="M114" i="85"/>
  <c r="AA114" i="85" s="1"/>
  <c r="V113" i="85"/>
  <c r="X113" i="85"/>
  <c r="K113" i="85"/>
  <c r="M113" i="85" s="1"/>
  <c r="V112" i="85"/>
  <c r="X112" i="85"/>
  <c r="K112" i="85"/>
  <c r="M112" i="85" s="1"/>
  <c r="V111" i="85"/>
  <c r="X111" i="85" s="1"/>
  <c r="AA111" i="85" s="1"/>
  <c r="K111" i="85"/>
  <c r="M111" i="85"/>
  <c r="V110" i="85"/>
  <c r="X110" i="85"/>
  <c r="K110" i="85"/>
  <c r="V109" i="85"/>
  <c r="X109" i="85"/>
  <c r="AA109" i="85" s="1"/>
  <c r="K109" i="85"/>
  <c r="M109" i="85" s="1"/>
  <c r="V108" i="85"/>
  <c r="S108" i="85"/>
  <c r="P108" i="85"/>
  <c r="L108" i="85"/>
  <c r="J108" i="85"/>
  <c r="I108" i="85"/>
  <c r="H108" i="85"/>
  <c r="G108" i="85"/>
  <c r="F108" i="85"/>
  <c r="E108" i="85"/>
  <c r="D108" i="85"/>
  <c r="AD107" i="85"/>
  <c r="AD106" i="85" s="1"/>
  <c r="V107" i="85"/>
  <c r="W107" i="85"/>
  <c r="Y107" i="85" s="1"/>
  <c r="Y106" i="85" s="1"/>
  <c r="S107" i="85"/>
  <c r="S106" i="85"/>
  <c r="P107" i="85"/>
  <c r="Q107" i="85"/>
  <c r="M107" i="85"/>
  <c r="AN106" i="85"/>
  <c r="AM106" i="85"/>
  <c r="AL106" i="85"/>
  <c r="AK106" i="85"/>
  <c r="AI106" i="85"/>
  <c r="AH106" i="85"/>
  <c r="AG106" i="85"/>
  <c r="AF106" i="85"/>
  <c r="AE106" i="85"/>
  <c r="AC106" i="85"/>
  <c r="V106" i="85"/>
  <c r="U106" i="85"/>
  <c r="T106" i="85"/>
  <c r="R106" i="85"/>
  <c r="O106" i="85"/>
  <c r="N106" i="85"/>
  <c r="M106" i="85"/>
  <c r="L106" i="85"/>
  <c r="K106" i="85"/>
  <c r="J106" i="85"/>
  <c r="I106" i="85"/>
  <c r="H106" i="85"/>
  <c r="G106" i="85"/>
  <c r="F106" i="85"/>
  <c r="E106" i="85"/>
  <c r="D106" i="85"/>
  <c r="C106" i="85"/>
  <c r="X105" i="85"/>
  <c r="AA105" i="85" s="1"/>
  <c r="V105" i="85"/>
  <c r="W105" i="85" s="1"/>
  <c r="Y105" i="85" s="1"/>
  <c r="AB105" i="85" s="1"/>
  <c r="P105" i="85"/>
  <c r="M105" i="85"/>
  <c r="V104" i="85"/>
  <c r="X104" i="85" s="1"/>
  <c r="AA104" i="85"/>
  <c r="P104" i="85"/>
  <c r="R104" i="85"/>
  <c r="S104" i="85" s="1"/>
  <c r="AD104" i="85" s="1"/>
  <c r="M104" i="85"/>
  <c r="V103" i="85"/>
  <c r="X103" i="85" s="1"/>
  <c r="AA103" i="85" s="1"/>
  <c r="Q103" i="85"/>
  <c r="O103" i="85"/>
  <c r="P103" i="85" s="1"/>
  <c r="S103" i="85" s="1"/>
  <c r="M103" i="85"/>
  <c r="V102" i="85"/>
  <c r="X102" i="85" s="1"/>
  <c r="AA102" i="85" s="1"/>
  <c r="O102" i="85"/>
  <c r="M102" i="85"/>
  <c r="Y101" i="85"/>
  <c r="V101" i="85"/>
  <c r="W101" i="85" s="1"/>
  <c r="O101" i="85"/>
  <c r="Q101" i="85"/>
  <c r="S101" i="85" s="1"/>
  <c r="AN100" i="85"/>
  <c r="AM100" i="85"/>
  <c r="AL100" i="85"/>
  <c r="AL128" i="85" s="1"/>
  <c r="AK100" i="85"/>
  <c r="AJ100" i="85"/>
  <c r="AI100" i="85"/>
  <c r="AH100" i="85"/>
  <c r="AG100" i="85"/>
  <c r="AF100" i="85"/>
  <c r="AE100" i="85"/>
  <c r="AC100" i="85"/>
  <c r="AC128" i="85" s="1"/>
  <c r="U100" i="85"/>
  <c r="T100" i="85"/>
  <c r="O100" i="85"/>
  <c r="N100" i="85"/>
  <c r="N128" i="85" s="1"/>
  <c r="L100" i="85"/>
  <c r="J100" i="85"/>
  <c r="I100" i="85"/>
  <c r="H100" i="85"/>
  <c r="H128" i="85" s="1"/>
  <c r="G100" i="85"/>
  <c r="F100" i="85"/>
  <c r="E100" i="85"/>
  <c r="D100" i="85"/>
  <c r="D128" i="85" s="1"/>
  <c r="C100" i="85"/>
  <c r="V99" i="85"/>
  <c r="X99" i="85"/>
  <c r="W99" i="85"/>
  <c r="Y99" i="85" s="1"/>
  <c r="AB99" i="85" s="1"/>
  <c r="S99" i="85"/>
  <c r="P99" i="85"/>
  <c r="T98" i="85"/>
  <c r="P98" i="85"/>
  <c r="R98" i="85" s="1"/>
  <c r="S98" i="85" s="1"/>
  <c r="Q98" i="85"/>
  <c r="Z98" i="85" s="1"/>
  <c r="N98" i="85"/>
  <c r="M98" i="85"/>
  <c r="V97" i="85"/>
  <c r="P97" i="85"/>
  <c r="Q97" i="85" s="1"/>
  <c r="M97" i="85"/>
  <c r="V96" i="85"/>
  <c r="P96" i="85"/>
  <c r="M96" i="85"/>
  <c r="V95" i="85"/>
  <c r="W95" i="85"/>
  <c r="Y95" i="85" s="1"/>
  <c r="AB95" i="85" s="1"/>
  <c r="P95" i="85"/>
  <c r="V94" i="85"/>
  <c r="X94" i="85" s="1"/>
  <c r="N94" i="85"/>
  <c r="M94" i="85"/>
  <c r="AA94" i="85"/>
  <c r="V93" i="85"/>
  <c r="X93" i="85" s="1"/>
  <c r="W93" i="85"/>
  <c r="Y93" i="85" s="1"/>
  <c r="P93" i="85"/>
  <c r="R93" i="85" s="1"/>
  <c r="S93" i="85" s="1"/>
  <c r="Q93" i="85"/>
  <c r="Z93" i="85" s="1"/>
  <c r="M93" i="85"/>
  <c r="V92" i="85"/>
  <c r="X92" i="85"/>
  <c r="W92" i="85"/>
  <c r="Y92" i="85" s="1"/>
  <c r="AB92" i="85" s="1"/>
  <c r="P92" i="85"/>
  <c r="V91" i="85"/>
  <c r="X91" i="85"/>
  <c r="P91" i="85"/>
  <c r="Q91" i="85" s="1"/>
  <c r="AM90" i="85"/>
  <c r="AL90" i="85"/>
  <c r="AK90" i="85"/>
  <c r="AJ90" i="85"/>
  <c r="AI90" i="85"/>
  <c r="AH90" i="85"/>
  <c r="AG90" i="85"/>
  <c r="AF90" i="85"/>
  <c r="AE90" i="85"/>
  <c r="AD90" i="85"/>
  <c r="AC90" i="85"/>
  <c r="U90" i="85"/>
  <c r="O90" i="85"/>
  <c r="L90" i="85"/>
  <c r="J90" i="85"/>
  <c r="I90" i="85"/>
  <c r="H90" i="85"/>
  <c r="G90" i="85"/>
  <c r="F90" i="85"/>
  <c r="E90" i="85"/>
  <c r="D90" i="85"/>
  <c r="C90" i="85"/>
  <c r="T89" i="85"/>
  <c r="V89" i="85" s="1"/>
  <c r="W89" i="85" s="1"/>
  <c r="Y89" i="85"/>
  <c r="AB89" i="85" s="1"/>
  <c r="P89" i="85"/>
  <c r="Q89" i="85"/>
  <c r="M89" i="85"/>
  <c r="V88" i="85"/>
  <c r="X88" i="85" s="1"/>
  <c r="AA88" i="85" s="1"/>
  <c r="P88" i="85"/>
  <c r="R88" i="85" s="1"/>
  <c r="S88" i="85" s="1"/>
  <c r="Q88" i="85"/>
  <c r="V87" i="85"/>
  <c r="P87" i="85"/>
  <c r="Q87" i="85" s="1"/>
  <c r="M87" i="85"/>
  <c r="V86" i="85"/>
  <c r="P86" i="85"/>
  <c r="M86" i="85"/>
  <c r="V85" i="85"/>
  <c r="W85" i="85" s="1"/>
  <c r="Y85" i="85" s="1"/>
  <c r="P85" i="85"/>
  <c r="M85" i="85"/>
  <c r="V84" i="85"/>
  <c r="X84" i="85" s="1"/>
  <c r="AA84" i="85" s="1"/>
  <c r="P84" i="85"/>
  <c r="R84" i="85"/>
  <c r="S84" i="85"/>
  <c r="V83" i="85"/>
  <c r="X83" i="85"/>
  <c r="AA83" i="85" s="1"/>
  <c r="P83" i="85"/>
  <c r="M83" i="85"/>
  <c r="X82" i="85"/>
  <c r="V82" i="85"/>
  <c r="W82" i="85" s="1"/>
  <c r="Y82" i="85" s="1"/>
  <c r="R82" i="85"/>
  <c r="S82" i="85" s="1"/>
  <c r="P82" i="85"/>
  <c r="Q82" i="85"/>
  <c r="M82" i="85"/>
  <c r="V81" i="85"/>
  <c r="X81" i="85"/>
  <c r="P81" i="85"/>
  <c r="R81" i="85" s="1"/>
  <c r="S81" i="85" s="1"/>
  <c r="M81" i="85"/>
  <c r="V80" i="85"/>
  <c r="X80" i="85" s="1"/>
  <c r="P80" i="85"/>
  <c r="T79" i="85"/>
  <c r="R79" i="85"/>
  <c r="S79" i="85" s="1"/>
  <c r="P79" i="85"/>
  <c r="Q79" i="85"/>
  <c r="M79" i="85"/>
  <c r="V78" i="85"/>
  <c r="O78" i="85"/>
  <c r="M78" i="85"/>
  <c r="V77" i="85"/>
  <c r="O77" i="85"/>
  <c r="P77" i="85" s="1"/>
  <c r="M77" i="85"/>
  <c r="V76" i="85"/>
  <c r="P76" i="85"/>
  <c r="V75" i="85"/>
  <c r="W75" i="85"/>
  <c r="Y75" i="85" s="1"/>
  <c r="P75" i="85"/>
  <c r="Q75" i="85"/>
  <c r="R75" i="85"/>
  <c r="S75" i="85" s="1"/>
  <c r="V74" i="85"/>
  <c r="P74" i="85"/>
  <c r="M74" i="85"/>
  <c r="M73" i="85" s="1"/>
  <c r="AN73" i="85"/>
  <c r="AM73" i="85"/>
  <c r="AL73" i="85"/>
  <c r="AK73" i="85"/>
  <c r="AJ73" i="85"/>
  <c r="AI73" i="85"/>
  <c r="AI128" i="85"/>
  <c r="AH73" i="85"/>
  <c r="AG73" i="85"/>
  <c r="AF73" i="85"/>
  <c r="AE73" i="85"/>
  <c r="AC73" i="85"/>
  <c r="U73" i="85"/>
  <c r="N73" i="85"/>
  <c r="L73" i="85"/>
  <c r="J73" i="85"/>
  <c r="I73" i="85"/>
  <c r="H73" i="85"/>
  <c r="G73" i="85"/>
  <c r="F73" i="85"/>
  <c r="E73" i="85"/>
  <c r="D73" i="85"/>
  <c r="C73" i="85"/>
  <c r="V72" i="85"/>
  <c r="Q72" i="85"/>
  <c r="Z72" i="85" s="1"/>
  <c r="P72" i="85"/>
  <c r="R72" i="85" s="1"/>
  <c r="S72" i="85" s="1"/>
  <c r="V71" i="85"/>
  <c r="P71" i="85"/>
  <c r="V70" i="85"/>
  <c r="W70" i="85" s="1"/>
  <c r="Y70" i="85" s="1"/>
  <c r="AB70" i="85" s="1"/>
  <c r="P70" i="85"/>
  <c r="M70" i="85"/>
  <c r="V69" i="85"/>
  <c r="P69" i="85"/>
  <c r="Q69" i="85" s="1"/>
  <c r="Z69" i="85" s="1"/>
  <c r="R69" i="85"/>
  <c r="S69" i="85" s="1"/>
  <c r="X68" i="85"/>
  <c r="W68" i="85"/>
  <c r="Y68" i="85" s="1"/>
  <c r="V68" i="85"/>
  <c r="R68" i="85"/>
  <c r="S68" i="85"/>
  <c r="Q68" i="85"/>
  <c r="P68" i="85"/>
  <c r="AA68" i="85"/>
  <c r="V67" i="85"/>
  <c r="P67" i="85"/>
  <c r="V66" i="85"/>
  <c r="W66" i="85" s="1"/>
  <c r="Y66" i="85" s="1"/>
  <c r="Q66" i="85"/>
  <c r="P66" i="85"/>
  <c r="R66" i="85" s="1"/>
  <c r="S66" i="85" s="1"/>
  <c r="M66" i="85"/>
  <c r="AB66" i="85" s="1"/>
  <c r="V65" i="85"/>
  <c r="X65" i="85" s="1"/>
  <c r="Q65" i="85"/>
  <c r="Z65" i="85" s="1"/>
  <c r="P65" i="85"/>
  <c r="R65" i="85" s="1"/>
  <c r="S65" i="85" s="1"/>
  <c r="T63" i="85"/>
  <c r="V63" i="85" s="1"/>
  <c r="P63" i="85"/>
  <c r="Q63" i="85" s="1"/>
  <c r="Z63" i="85" s="1"/>
  <c r="X62" i="85"/>
  <c r="V62" i="85"/>
  <c r="W62" i="85"/>
  <c r="Y62" i="85"/>
  <c r="P62" i="85"/>
  <c r="R62" i="85" s="1"/>
  <c r="S62" i="85" s="1"/>
  <c r="Q62" i="85"/>
  <c r="M62" i="85"/>
  <c r="T61" i="85"/>
  <c r="V61" i="85"/>
  <c r="P61" i="85"/>
  <c r="M61" i="85"/>
  <c r="U60" i="85"/>
  <c r="V60" i="85" s="1"/>
  <c r="P60" i="85"/>
  <c r="M60" i="85"/>
  <c r="W59" i="85"/>
  <c r="Y59" i="85"/>
  <c r="V59" i="85"/>
  <c r="X59" i="85" s="1"/>
  <c r="Q59" i="85"/>
  <c r="P59" i="85"/>
  <c r="R59" i="85" s="1"/>
  <c r="S59" i="85" s="1"/>
  <c r="V58" i="85"/>
  <c r="W58" i="85" s="1"/>
  <c r="Y58" i="85" s="1"/>
  <c r="AB58" i="85" s="1"/>
  <c r="P58" i="85"/>
  <c r="R58" i="85"/>
  <c r="S58" i="85" s="1"/>
  <c r="M58" i="85"/>
  <c r="T57" i="85"/>
  <c r="V57" i="85"/>
  <c r="P57" i="85"/>
  <c r="AD57" i="85" s="1"/>
  <c r="M57" i="85"/>
  <c r="T56" i="85"/>
  <c r="P56" i="85"/>
  <c r="X55" i="85"/>
  <c r="W55" i="85"/>
  <c r="Y55" i="85" s="1"/>
  <c r="V55" i="85"/>
  <c r="O55" i="85"/>
  <c r="X54" i="85"/>
  <c r="V54" i="85"/>
  <c r="W54" i="85" s="1"/>
  <c r="Y54" i="85" s="1"/>
  <c r="R54" i="85"/>
  <c r="S54" i="85" s="1"/>
  <c r="P54" i="85"/>
  <c r="Q54" i="85"/>
  <c r="AD54" i="85"/>
  <c r="M54" i="85"/>
  <c r="W53" i="85"/>
  <c r="Y53" i="85"/>
  <c r="V53" i="85"/>
  <c r="X53" i="85" s="1"/>
  <c r="AA53" i="85" s="1"/>
  <c r="Q53" i="85"/>
  <c r="P53" i="85"/>
  <c r="R53" i="85" s="1"/>
  <c r="S53" i="85" s="1"/>
  <c r="V52" i="85"/>
  <c r="P52" i="85"/>
  <c r="V51" i="85"/>
  <c r="P51" i="85"/>
  <c r="R51" i="85"/>
  <c r="V50" i="85"/>
  <c r="W50" i="85" s="1"/>
  <c r="Y50" i="85" s="1"/>
  <c r="X50" i="85"/>
  <c r="AA50" i="85" s="1"/>
  <c r="P50" i="85"/>
  <c r="M50" i="85"/>
  <c r="V49" i="85"/>
  <c r="P49" i="85"/>
  <c r="V48" i="85"/>
  <c r="P48" i="85"/>
  <c r="O48" i="85"/>
  <c r="X47" i="85"/>
  <c r="V47" i="85"/>
  <c r="W47" i="85"/>
  <c r="Y47" i="85"/>
  <c r="P47" i="85"/>
  <c r="R47" i="85" s="1"/>
  <c r="S47" i="85" s="1"/>
  <c r="Q47" i="85"/>
  <c r="AN46" i="85"/>
  <c r="AM46" i="85"/>
  <c r="AL46" i="85"/>
  <c r="AK46" i="85"/>
  <c r="AJ46" i="85"/>
  <c r="AI46" i="85"/>
  <c r="AH46" i="85"/>
  <c r="AG46" i="85"/>
  <c r="AF46" i="85"/>
  <c r="AE46" i="85"/>
  <c r="AC46" i="85"/>
  <c r="N46" i="85"/>
  <c r="L46" i="85"/>
  <c r="J46" i="85"/>
  <c r="I46" i="85"/>
  <c r="H46" i="85"/>
  <c r="G46" i="85"/>
  <c r="F46" i="85"/>
  <c r="E46" i="85"/>
  <c r="D46" i="85"/>
  <c r="C46" i="85"/>
  <c r="T45" i="85"/>
  <c r="V45" i="85"/>
  <c r="Q45" i="85"/>
  <c r="P45" i="85"/>
  <c r="R45" i="85" s="1"/>
  <c r="S45" i="85" s="1"/>
  <c r="V44" i="85"/>
  <c r="P44" i="85"/>
  <c r="X43" i="85"/>
  <c r="V43" i="85"/>
  <c r="W43" i="85"/>
  <c r="Y43" i="85" s="1"/>
  <c r="R43" i="85"/>
  <c r="S43" i="85" s="1"/>
  <c r="P43" i="85"/>
  <c r="Q43" i="85"/>
  <c r="M43" i="85"/>
  <c r="X42" i="85"/>
  <c r="AA42" i="85" s="1"/>
  <c r="T42" i="85"/>
  <c r="V42" i="85" s="1"/>
  <c r="W42" i="85" s="1"/>
  <c r="Y42" i="85" s="1"/>
  <c r="Q42" i="85"/>
  <c r="P42" i="85"/>
  <c r="R42" i="85" s="1"/>
  <c r="S42" i="85" s="1"/>
  <c r="M42" i="85"/>
  <c r="V41" i="85"/>
  <c r="W41" i="85" s="1"/>
  <c r="Y41" i="85" s="1"/>
  <c r="X41" i="85"/>
  <c r="P41" i="85"/>
  <c r="V40" i="85"/>
  <c r="O40" i="85"/>
  <c r="P40" i="85"/>
  <c r="M40" i="85"/>
  <c r="V39" i="85"/>
  <c r="O39" i="85"/>
  <c r="P39" i="85" s="1"/>
  <c r="M39" i="85"/>
  <c r="V38" i="85"/>
  <c r="W38" i="85"/>
  <c r="P38" i="85"/>
  <c r="M38" i="85"/>
  <c r="V37" i="85"/>
  <c r="W37" i="85" s="1"/>
  <c r="Y37" i="85" s="1"/>
  <c r="Q37" i="85"/>
  <c r="P37" i="85"/>
  <c r="R37" i="85" s="1"/>
  <c r="S37" i="85" s="1"/>
  <c r="M37" i="85"/>
  <c r="AB37" i="85" s="1"/>
  <c r="T36" i="85"/>
  <c r="V36" i="85" s="1"/>
  <c r="R36" i="85"/>
  <c r="S36" i="85"/>
  <c r="P36" i="85"/>
  <c r="Q36" i="85" s="1"/>
  <c r="M36" i="85"/>
  <c r="W35" i="85"/>
  <c r="Y35" i="85" s="1"/>
  <c r="V35" i="85"/>
  <c r="X35" i="85"/>
  <c r="AA35" i="85"/>
  <c r="O35" i="85"/>
  <c r="P35" i="85" s="1"/>
  <c r="M35" i="85"/>
  <c r="V34" i="85"/>
  <c r="R34" i="85"/>
  <c r="P34" i="85"/>
  <c r="M34" i="85"/>
  <c r="X33" i="85"/>
  <c r="V33" i="85"/>
  <c r="W33" i="85" s="1"/>
  <c r="Y33" i="85" s="1"/>
  <c r="S33" i="85"/>
  <c r="R33" i="85"/>
  <c r="P33" i="85"/>
  <c r="Q33" i="85"/>
  <c r="V32" i="85"/>
  <c r="X32" i="85" s="1"/>
  <c r="T32" i="85"/>
  <c r="P32" i="85"/>
  <c r="R32" i="85" s="1"/>
  <c r="S32" i="85" s="1"/>
  <c r="Q32" i="85"/>
  <c r="M32" i="85"/>
  <c r="V31" i="85"/>
  <c r="Q31" i="85"/>
  <c r="Z31" i="85"/>
  <c r="P31" i="85"/>
  <c r="R31" i="85" s="1"/>
  <c r="S31" i="85" s="1"/>
  <c r="M31" i="85"/>
  <c r="U30" i="85"/>
  <c r="P30" i="85"/>
  <c r="Q30" i="85" s="1"/>
  <c r="O30" i="85"/>
  <c r="M30" i="85"/>
  <c r="M20" i="85" s="1"/>
  <c r="T29" i="85"/>
  <c r="P29" i="85"/>
  <c r="T28" i="85"/>
  <c r="V28" i="85" s="1"/>
  <c r="Q28" i="85"/>
  <c r="P28" i="85"/>
  <c r="R28" i="85"/>
  <c r="S28" i="85"/>
  <c r="M28" i="85"/>
  <c r="V27" i="85"/>
  <c r="Q27" i="85"/>
  <c r="P27" i="85"/>
  <c r="R27" i="85" s="1"/>
  <c r="S27" i="85" s="1"/>
  <c r="M27" i="85"/>
  <c r="V26" i="85"/>
  <c r="P26" i="85"/>
  <c r="M26" i="85"/>
  <c r="V25" i="85"/>
  <c r="P25" i="85"/>
  <c r="R25" i="85"/>
  <c r="S25" i="85" s="1"/>
  <c r="V24" i="85"/>
  <c r="W24" i="85" s="1"/>
  <c r="Y24" i="85" s="1"/>
  <c r="AB24" i="85" s="1"/>
  <c r="P24" i="85"/>
  <c r="Q24" i="85" s="1"/>
  <c r="Z24" i="85" s="1"/>
  <c r="M24" i="85"/>
  <c r="V23" i="85"/>
  <c r="W23" i="85" s="1"/>
  <c r="P23" i="85"/>
  <c r="M23" i="85"/>
  <c r="V22" i="85"/>
  <c r="P22" i="85"/>
  <c r="P20" i="85" s="1"/>
  <c r="M22" i="85"/>
  <c r="Y21" i="85"/>
  <c r="W21" i="85"/>
  <c r="V21" i="85"/>
  <c r="X21" i="85"/>
  <c r="S21" i="85"/>
  <c r="Q21" i="85"/>
  <c r="P21" i="85"/>
  <c r="AD21" i="85" s="1"/>
  <c r="R21" i="85"/>
  <c r="M21" i="85"/>
  <c r="AB21" i="85" s="1"/>
  <c r="AO20" i="85"/>
  <c r="AN20" i="85"/>
  <c r="AM20" i="85"/>
  <c r="AM128" i="85" s="1"/>
  <c r="AL20" i="85"/>
  <c r="AK20" i="85"/>
  <c r="AJ20" i="85"/>
  <c r="AI20" i="85"/>
  <c r="AH20" i="85"/>
  <c r="AG20" i="85"/>
  <c r="AF20" i="85"/>
  <c r="AE20" i="85"/>
  <c r="AC20" i="85"/>
  <c r="N20" i="85"/>
  <c r="L20" i="85"/>
  <c r="J20" i="85"/>
  <c r="I20" i="85"/>
  <c r="H20" i="85"/>
  <c r="G20" i="85"/>
  <c r="F20" i="85"/>
  <c r="E20" i="85"/>
  <c r="D20" i="85"/>
  <c r="C20" i="85"/>
  <c r="P19" i="85"/>
  <c r="M19" i="85"/>
  <c r="V18" i="85"/>
  <c r="X18" i="85"/>
  <c r="O18" i="85"/>
  <c r="P18" i="85" s="1"/>
  <c r="Q18" i="85" s="1"/>
  <c r="Z18" i="85" s="1"/>
  <c r="K18" i="85"/>
  <c r="M18" i="85" s="1"/>
  <c r="T17" i="85"/>
  <c r="V17" i="85" s="1"/>
  <c r="P17" i="85"/>
  <c r="R17" i="85" s="1"/>
  <c r="S17" i="85" s="1"/>
  <c r="K17" i="85"/>
  <c r="M17" i="85"/>
  <c r="U16" i="85"/>
  <c r="T16" i="85"/>
  <c r="O16" i="85"/>
  <c r="P16" i="85"/>
  <c r="Q16" i="85" s="1"/>
  <c r="K16" i="85"/>
  <c r="M16" i="85"/>
  <c r="U15" i="85"/>
  <c r="O15" i="85"/>
  <c r="P15" i="85" s="1"/>
  <c r="K15" i="85"/>
  <c r="M15" i="85"/>
  <c r="V14" i="85"/>
  <c r="X14" i="85" s="1"/>
  <c r="P14" i="85"/>
  <c r="Q14" i="85" s="1"/>
  <c r="K14" i="85"/>
  <c r="M14" i="85" s="1"/>
  <c r="V13" i="85"/>
  <c r="O13" i="85"/>
  <c r="P13" i="85" s="1"/>
  <c r="AD13" i="85" s="1"/>
  <c r="K13" i="85"/>
  <c r="M13" i="85" s="1"/>
  <c r="V12" i="85"/>
  <c r="X12" i="85" s="1"/>
  <c r="AA12" i="85" s="1"/>
  <c r="W12" i="85"/>
  <c r="Y12" i="85" s="1"/>
  <c r="Q12" i="85"/>
  <c r="Z12" i="85"/>
  <c r="P12" i="85"/>
  <c r="R12" i="85" s="1"/>
  <c r="S12" i="85" s="1"/>
  <c r="K12" i="85"/>
  <c r="M12" i="85" s="1"/>
  <c r="V11" i="85"/>
  <c r="O11" i="85"/>
  <c r="P11" i="85"/>
  <c r="K11" i="85"/>
  <c r="M11" i="85" s="1"/>
  <c r="V10" i="85"/>
  <c r="P10" i="85"/>
  <c r="M10" i="85"/>
  <c r="K10" i="85"/>
  <c r="V9" i="85"/>
  <c r="R9" i="85"/>
  <c r="S9" i="85"/>
  <c r="P9" i="85"/>
  <c r="K9" i="85"/>
  <c r="M9" i="85"/>
  <c r="AD8" i="85"/>
  <c r="T8" i="85"/>
  <c r="O8" i="85"/>
  <c r="P8" i="85"/>
  <c r="R8" i="85"/>
  <c r="S8" i="85" s="1"/>
  <c r="K8" i="85"/>
  <c r="M8" i="85"/>
  <c r="V7" i="85"/>
  <c r="O7" i="85"/>
  <c r="L7" i="85"/>
  <c r="K7" i="85"/>
  <c r="AN6" i="85"/>
  <c r="AM6" i="85"/>
  <c r="AL6" i="85"/>
  <c r="AK6" i="85"/>
  <c r="AJ6" i="85"/>
  <c r="AI6" i="85"/>
  <c r="AH6" i="85"/>
  <c r="AG6" i="85"/>
  <c r="AF6" i="85"/>
  <c r="AE6" i="85"/>
  <c r="AC6" i="85"/>
  <c r="N6" i="85"/>
  <c r="J6" i="85"/>
  <c r="I6" i="85"/>
  <c r="H6" i="85"/>
  <c r="G6" i="85"/>
  <c r="F6" i="85"/>
  <c r="E6" i="85"/>
  <c r="D6" i="85"/>
  <c r="C6" i="85"/>
  <c r="K47" i="81"/>
  <c r="M47" i="81" s="1"/>
  <c r="K48" i="81"/>
  <c r="M48" i="81"/>
  <c r="K49" i="81"/>
  <c r="K50" i="81"/>
  <c r="K51" i="81"/>
  <c r="K52" i="81"/>
  <c r="M52" i="81" s="1"/>
  <c r="K53" i="81"/>
  <c r="K54" i="81"/>
  <c r="K55" i="81"/>
  <c r="K56" i="81"/>
  <c r="K57" i="81"/>
  <c r="M57" i="81"/>
  <c r="K58" i="81"/>
  <c r="M58" i="81" s="1"/>
  <c r="K59" i="81"/>
  <c r="M59" i="81"/>
  <c r="K60" i="81"/>
  <c r="M60" i="81" s="1"/>
  <c r="K61" i="81"/>
  <c r="K62" i="81"/>
  <c r="M62" i="81" s="1"/>
  <c r="K63" i="81"/>
  <c r="K64" i="81"/>
  <c r="M64" i="81"/>
  <c r="K65" i="81"/>
  <c r="K66" i="81"/>
  <c r="M66" i="81" s="1"/>
  <c r="K67" i="81"/>
  <c r="M67" i="81"/>
  <c r="K68" i="81"/>
  <c r="M68" i="81" s="1"/>
  <c r="K69" i="81"/>
  <c r="K70" i="81"/>
  <c r="M70" i="81"/>
  <c r="K71" i="81"/>
  <c r="M71" i="81" s="1"/>
  <c r="H45" i="81"/>
  <c r="I45" i="81"/>
  <c r="J45" i="81"/>
  <c r="K44" i="81"/>
  <c r="M44" i="81" s="1"/>
  <c r="K43" i="81"/>
  <c r="M43" i="81"/>
  <c r="M42" i="81"/>
  <c r="K42" i="81"/>
  <c r="K41" i="81"/>
  <c r="M41" i="81"/>
  <c r="M40" i="81"/>
  <c r="K40" i="81"/>
  <c r="K39" i="81"/>
  <c r="M39" i="81"/>
  <c r="K38" i="81"/>
  <c r="M38" i="81" s="1"/>
  <c r="K37" i="81"/>
  <c r="M37" i="81"/>
  <c r="K36" i="81"/>
  <c r="M36" i="81" s="1"/>
  <c r="K35" i="81"/>
  <c r="M35" i="81"/>
  <c r="M34" i="81"/>
  <c r="K34" i="81"/>
  <c r="K33" i="81"/>
  <c r="M33" i="81"/>
  <c r="K32" i="81"/>
  <c r="M32" i="81" s="1"/>
  <c r="K31" i="81"/>
  <c r="M31" i="81"/>
  <c r="K30" i="81"/>
  <c r="M30" i="81" s="1"/>
  <c r="K29" i="81"/>
  <c r="M29" i="81"/>
  <c r="K28" i="81"/>
  <c r="M28" i="81" s="1"/>
  <c r="K27" i="81"/>
  <c r="M27" i="81"/>
  <c r="M26" i="81"/>
  <c r="K26" i="81"/>
  <c r="K25" i="81"/>
  <c r="M25" i="81"/>
  <c r="M24" i="81"/>
  <c r="K24" i="81"/>
  <c r="K23" i="81"/>
  <c r="M23" i="81"/>
  <c r="K22" i="81"/>
  <c r="K21" i="81"/>
  <c r="M21" i="81"/>
  <c r="K20" i="81"/>
  <c r="M20" i="81"/>
  <c r="M69" i="81"/>
  <c r="M65" i="81"/>
  <c r="M61" i="81"/>
  <c r="M56" i="81"/>
  <c r="M55" i="81"/>
  <c r="M54" i="81"/>
  <c r="M49" i="81"/>
  <c r="M46" i="81"/>
  <c r="K46" i="81"/>
  <c r="K45" i="81" s="1"/>
  <c r="C5" i="81"/>
  <c r="D5" i="81"/>
  <c r="E5" i="81"/>
  <c r="F5" i="81"/>
  <c r="G5" i="81"/>
  <c r="H5" i="81"/>
  <c r="I5" i="81"/>
  <c r="J5" i="81"/>
  <c r="K6" i="81"/>
  <c r="L6" i="81"/>
  <c r="L5" i="81"/>
  <c r="K7" i="81"/>
  <c r="K8" i="81"/>
  <c r="M8" i="81"/>
  <c r="K9" i="81"/>
  <c r="M9" i="81" s="1"/>
  <c r="K10" i="81"/>
  <c r="M10" i="81"/>
  <c r="K11" i="81"/>
  <c r="M11" i="81" s="1"/>
  <c r="K12" i="81"/>
  <c r="M12" i="81"/>
  <c r="K13" i="81"/>
  <c r="M13" i="81" s="1"/>
  <c r="K14" i="81"/>
  <c r="M14" i="81"/>
  <c r="K15" i="81"/>
  <c r="M15" i="81" s="1"/>
  <c r="K16" i="81"/>
  <c r="M16" i="81"/>
  <c r="K17" i="81"/>
  <c r="M17" i="81" s="1"/>
  <c r="M18" i="81"/>
  <c r="C19" i="81"/>
  <c r="D19" i="81"/>
  <c r="E19" i="81"/>
  <c r="F19" i="81"/>
  <c r="G19" i="81"/>
  <c r="H19" i="81"/>
  <c r="I19" i="81"/>
  <c r="J19" i="81"/>
  <c r="L19" i="81"/>
  <c r="C45" i="81"/>
  <c r="D45" i="81"/>
  <c r="E45" i="81"/>
  <c r="F45" i="81"/>
  <c r="G45" i="81"/>
  <c r="L45" i="81"/>
  <c r="L107" i="81" s="1"/>
  <c r="C72" i="81"/>
  <c r="D72" i="81"/>
  <c r="E72" i="81"/>
  <c r="E107" i="81"/>
  <c r="F72" i="81"/>
  <c r="G72" i="81"/>
  <c r="H72" i="81"/>
  <c r="I72" i="81"/>
  <c r="J72" i="81"/>
  <c r="L72" i="81"/>
  <c r="K73" i="81"/>
  <c r="K74" i="81"/>
  <c r="M74" i="81"/>
  <c r="K75" i="81"/>
  <c r="M75" i="81"/>
  <c r="K76" i="81"/>
  <c r="M76" i="81"/>
  <c r="K77" i="81"/>
  <c r="M77" i="81"/>
  <c r="K78" i="81"/>
  <c r="M78" i="81"/>
  <c r="K79" i="81"/>
  <c r="M79" i="81"/>
  <c r="K80" i="81"/>
  <c r="M80" i="81"/>
  <c r="K81" i="81"/>
  <c r="M81" i="81"/>
  <c r="K82" i="81"/>
  <c r="M82" i="81"/>
  <c r="K83" i="81"/>
  <c r="M83" i="81"/>
  <c r="K84" i="81"/>
  <c r="M84" i="81"/>
  <c r="K85" i="81"/>
  <c r="M85" i="81"/>
  <c r="K86" i="81"/>
  <c r="M86" i="81"/>
  <c r="K87" i="81"/>
  <c r="M87" i="81"/>
  <c r="K88" i="81"/>
  <c r="M88" i="81"/>
  <c r="C89" i="81"/>
  <c r="D89" i="81"/>
  <c r="E89" i="81"/>
  <c r="F89" i="81"/>
  <c r="G89" i="81"/>
  <c r="H89" i="81"/>
  <c r="I89" i="81"/>
  <c r="J89" i="81"/>
  <c r="L89" i="81"/>
  <c r="K90" i="81"/>
  <c r="K91" i="81"/>
  <c r="M91" i="81"/>
  <c r="K92" i="81"/>
  <c r="M92" i="81" s="1"/>
  <c r="K93" i="81"/>
  <c r="M93" i="81"/>
  <c r="K94" i="81"/>
  <c r="M94" i="81" s="1"/>
  <c r="K95" i="81"/>
  <c r="M95" i="81"/>
  <c r="K96" i="81"/>
  <c r="M96" i="81" s="1"/>
  <c r="K97" i="81"/>
  <c r="M97" i="81"/>
  <c r="K98" i="81"/>
  <c r="M98" i="81"/>
  <c r="C99" i="81"/>
  <c r="C107" i="81" s="1"/>
  <c r="D99" i="81"/>
  <c r="E99" i="81"/>
  <c r="F99" i="81"/>
  <c r="G99" i="81"/>
  <c r="G107" i="81" s="1"/>
  <c r="H99" i="81"/>
  <c r="I99" i="81"/>
  <c r="I107" i="81" s="1"/>
  <c r="J99" i="81"/>
  <c r="J107" i="81"/>
  <c r="L99" i="81"/>
  <c r="K100" i="81"/>
  <c r="K101" i="81"/>
  <c r="M101" i="81" s="1"/>
  <c r="K99" i="81"/>
  <c r="K102" i="81"/>
  <c r="M102" i="81"/>
  <c r="K103" i="81"/>
  <c r="M103" i="81" s="1"/>
  <c r="K104" i="81"/>
  <c r="M104" i="81"/>
  <c r="C105" i="81"/>
  <c r="D105" i="81"/>
  <c r="E105" i="81"/>
  <c r="F105" i="81"/>
  <c r="F107" i="81" s="1"/>
  <c r="G105" i="81"/>
  <c r="H105" i="81"/>
  <c r="I105" i="81"/>
  <c r="J105" i="81"/>
  <c r="K105" i="81"/>
  <c r="L105" i="81"/>
  <c r="M100" i="81"/>
  <c r="M6" i="81"/>
  <c r="O95" i="81"/>
  <c r="M106" i="81"/>
  <c r="M105" i="81" s="1"/>
  <c r="P72" i="81"/>
  <c r="Q72" i="81"/>
  <c r="R72" i="81"/>
  <c r="S72" i="81"/>
  <c r="T72" i="81"/>
  <c r="U72" i="81"/>
  <c r="V72" i="81"/>
  <c r="W72" i="81"/>
  <c r="X72" i="81"/>
  <c r="Y72" i="81"/>
  <c r="V106" i="81"/>
  <c r="W106" i="81"/>
  <c r="W105" i="81"/>
  <c r="X106" i="81"/>
  <c r="Y106" i="81"/>
  <c r="Y105" i="81"/>
  <c r="V105" i="81"/>
  <c r="U105" i="81"/>
  <c r="P105" i="81"/>
  <c r="Q105" i="81"/>
  <c r="R105" i="81"/>
  <c r="S105" i="81"/>
  <c r="T105" i="81"/>
  <c r="P99" i="81"/>
  <c r="Q99" i="81"/>
  <c r="R99" i="81"/>
  <c r="S99" i="81"/>
  <c r="T99" i="81"/>
  <c r="U99" i="81"/>
  <c r="V99" i="81"/>
  <c r="W99" i="81"/>
  <c r="X99" i="81"/>
  <c r="X107" i="81" s="1"/>
  <c r="Y99" i="81"/>
  <c r="P89" i="81"/>
  <c r="Q89" i="81"/>
  <c r="R89" i="81"/>
  <c r="S89" i="81"/>
  <c r="T89" i="81"/>
  <c r="U89" i="81"/>
  <c r="V89" i="81"/>
  <c r="W89" i="81"/>
  <c r="X89" i="81"/>
  <c r="Y89" i="81"/>
  <c r="P45" i="81"/>
  <c r="Q45" i="81"/>
  <c r="R45" i="81"/>
  <c r="S45" i="81"/>
  <c r="T45" i="81"/>
  <c r="U45" i="81"/>
  <c r="V45" i="81"/>
  <c r="W45" i="81"/>
  <c r="X45" i="81"/>
  <c r="Y45" i="81"/>
  <c r="P19" i="81"/>
  <c r="Q19" i="81"/>
  <c r="Q107" i="81" s="1"/>
  <c r="R19" i="81"/>
  <c r="S19" i="81"/>
  <c r="T19" i="81"/>
  <c r="U19" i="81"/>
  <c r="V19" i="81"/>
  <c r="W19" i="81"/>
  <c r="X19" i="81"/>
  <c r="Y19" i="81"/>
  <c r="Y107" i="81" s="1"/>
  <c r="P5" i="81"/>
  <c r="Q5" i="81"/>
  <c r="R5" i="81"/>
  <c r="R107" i="81" s="1"/>
  <c r="S5" i="81"/>
  <c r="T5" i="81"/>
  <c r="U5" i="81"/>
  <c r="V5" i="81"/>
  <c r="V107" i="81" s="1"/>
  <c r="W5" i="81"/>
  <c r="X5" i="81"/>
  <c r="Y5" i="81"/>
  <c r="D107" i="80"/>
  <c r="E107" i="80"/>
  <c r="F107" i="80"/>
  <c r="G107" i="80"/>
  <c r="H107" i="80"/>
  <c r="I107" i="80"/>
  <c r="J107" i="80"/>
  <c r="L107" i="80"/>
  <c r="N107" i="80"/>
  <c r="O107" i="80"/>
  <c r="R107" i="80"/>
  <c r="T107" i="80"/>
  <c r="U107" i="80"/>
  <c r="AD108" i="80"/>
  <c r="AA120" i="80"/>
  <c r="D122" i="80"/>
  <c r="E122" i="80"/>
  <c r="F122" i="80"/>
  <c r="G122" i="80"/>
  <c r="H122" i="80"/>
  <c r="I122" i="80"/>
  <c r="J122" i="80"/>
  <c r="K122" i="80"/>
  <c r="L122" i="80"/>
  <c r="N122" i="80"/>
  <c r="O122" i="80"/>
  <c r="P122" i="80"/>
  <c r="Q122" i="80"/>
  <c r="R122" i="80"/>
  <c r="T122" i="80"/>
  <c r="U122" i="80"/>
  <c r="V122" i="80"/>
  <c r="W122" i="80"/>
  <c r="X122" i="80"/>
  <c r="Y122" i="80"/>
  <c r="Z122" i="80"/>
  <c r="AA122" i="80"/>
  <c r="AB122" i="80"/>
  <c r="AC122" i="80"/>
  <c r="AD122" i="80"/>
  <c r="AE122" i="80"/>
  <c r="AF122" i="80"/>
  <c r="AG122" i="80"/>
  <c r="AH122" i="80"/>
  <c r="AI122" i="80"/>
  <c r="AJ122" i="80"/>
  <c r="AK122" i="80"/>
  <c r="AL122" i="80"/>
  <c r="AM122" i="80"/>
  <c r="AN122" i="80"/>
  <c r="C122" i="80"/>
  <c r="C19" i="82"/>
  <c r="D19" i="82"/>
  <c r="E19" i="82"/>
  <c r="F19" i="82"/>
  <c r="G19" i="82"/>
  <c r="G26" i="82" s="1"/>
  <c r="H19" i="82"/>
  <c r="I19" i="82"/>
  <c r="J19" i="82"/>
  <c r="K19" i="82"/>
  <c r="L19" i="82"/>
  <c r="M19" i="82"/>
  <c r="N19" i="82"/>
  <c r="N26" i="82" s="1"/>
  <c r="O19" i="82"/>
  <c r="P19" i="82"/>
  <c r="Q19" i="82"/>
  <c r="Q26" i="82" s="1"/>
  <c r="R19" i="82"/>
  <c r="R26" i="82"/>
  <c r="S19" i="82"/>
  <c r="S26" i="82" s="1"/>
  <c r="T19" i="82"/>
  <c r="U19" i="82"/>
  <c r="U26" i="82"/>
  <c r="V19" i="82"/>
  <c r="V26" i="82" s="1"/>
  <c r="W19" i="82"/>
  <c r="W26" i="82"/>
  <c r="X19" i="82"/>
  <c r="B19" i="82"/>
  <c r="B26" i="82"/>
  <c r="O26" i="82"/>
  <c r="P26" i="82"/>
  <c r="T26" i="82"/>
  <c r="X26" i="82"/>
  <c r="C7" i="82"/>
  <c r="C26" i="82" s="1"/>
  <c r="D7" i="82"/>
  <c r="E7" i="82"/>
  <c r="E26" i="82"/>
  <c r="F7" i="82"/>
  <c r="F26" i="82" s="1"/>
  <c r="G7" i="82"/>
  <c r="H7" i="82"/>
  <c r="H26" i="82" s="1"/>
  <c r="I7" i="82"/>
  <c r="I26" i="82"/>
  <c r="K7" i="82"/>
  <c r="K26" i="82" s="1"/>
  <c r="M7" i="82"/>
  <c r="M26" i="82" s="1"/>
  <c r="AC20" i="80"/>
  <c r="AE20" i="80"/>
  <c r="AE129" i="80" s="1"/>
  <c r="AF20" i="80"/>
  <c r="AG20" i="80"/>
  <c r="AH20" i="80"/>
  <c r="AI20" i="80"/>
  <c r="AJ20" i="80"/>
  <c r="AK20" i="80"/>
  <c r="AL20" i="80"/>
  <c r="AM20" i="80"/>
  <c r="AN20" i="80"/>
  <c r="AO20" i="80"/>
  <c r="D20" i="80"/>
  <c r="E20" i="80"/>
  <c r="F20" i="80"/>
  <c r="G20" i="80"/>
  <c r="H20" i="80"/>
  <c r="I20" i="80"/>
  <c r="J20" i="80"/>
  <c r="L20" i="80"/>
  <c r="L129" i="80" s="1"/>
  <c r="N20" i="80"/>
  <c r="C20" i="80"/>
  <c r="K45" i="80"/>
  <c r="S124" i="80"/>
  <c r="S125" i="80"/>
  <c r="S126" i="80"/>
  <c r="S127" i="80"/>
  <c r="S128" i="80"/>
  <c r="S123" i="80"/>
  <c r="S122" i="80" s="1"/>
  <c r="M123" i="80"/>
  <c r="M124" i="80"/>
  <c r="M125" i="80"/>
  <c r="M126" i="80"/>
  <c r="M127" i="80"/>
  <c r="M128" i="80"/>
  <c r="J6" i="82"/>
  <c r="T45" i="80"/>
  <c r="V45" i="80"/>
  <c r="P45" i="80"/>
  <c r="R45" i="80" s="1"/>
  <c r="S45" i="80" s="1"/>
  <c r="M45" i="80"/>
  <c r="AA45" i="80"/>
  <c r="P19" i="80"/>
  <c r="M19" i="80"/>
  <c r="S109" i="80"/>
  <c r="P109" i="80"/>
  <c r="T64" i="80"/>
  <c r="P64" i="80"/>
  <c r="R64" i="80"/>
  <c r="S64" i="80"/>
  <c r="K64" i="80"/>
  <c r="M64" i="80"/>
  <c r="J18" i="82"/>
  <c r="L18" i="82"/>
  <c r="J17" i="82"/>
  <c r="L17" i="82"/>
  <c r="J16" i="82"/>
  <c r="L16" i="82"/>
  <c r="J15" i="82"/>
  <c r="L15" i="82"/>
  <c r="J14" i="82"/>
  <c r="L14" i="82"/>
  <c r="J13" i="82"/>
  <c r="L13" i="82"/>
  <c r="J12" i="82"/>
  <c r="L12" i="82"/>
  <c r="J11" i="82"/>
  <c r="L11" i="82"/>
  <c r="J10" i="82"/>
  <c r="L10" i="82"/>
  <c r="J9" i="82"/>
  <c r="L9" i="82"/>
  <c r="J8" i="82"/>
  <c r="V89" i="80"/>
  <c r="V90" i="80"/>
  <c r="X90" i="80"/>
  <c r="AA90" i="80"/>
  <c r="P89" i="80"/>
  <c r="P90" i="80"/>
  <c r="R90" i="80" s="1"/>
  <c r="S90" i="80" s="1"/>
  <c r="O18" i="81"/>
  <c r="V120" i="80"/>
  <c r="X120" i="80" s="1"/>
  <c r="K120" i="80"/>
  <c r="M120" i="80"/>
  <c r="K111" i="80"/>
  <c r="M111" i="80" s="1"/>
  <c r="K112" i="80"/>
  <c r="M112" i="80"/>
  <c r="K113" i="80"/>
  <c r="M113" i="80" s="1"/>
  <c r="K114" i="80"/>
  <c r="M114" i="80"/>
  <c r="K115" i="80"/>
  <c r="M115" i="80" s="1"/>
  <c r="AA115" i="80" s="1"/>
  <c r="K116" i="80"/>
  <c r="M116" i="80"/>
  <c r="K117" i="80"/>
  <c r="K118" i="80"/>
  <c r="M118" i="80"/>
  <c r="K119" i="80"/>
  <c r="M119" i="80" s="1"/>
  <c r="K121" i="80"/>
  <c r="M121" i="80"/>
  <c r="K110" i="80"/>
  <c r="M110" i="80"/>
  <c r="V109" i="80"/>
  <c r="V110" i="80"/>
  <c r="X110" i="80"/>
  <c r="V111" i="80"/>
  <c r="X111" i="80"/>
  <c r="AA111" i="80" s="1"/>
  <c r="V112" i="80"/>
  <c r="X112" i="80"/>
  <c r="V113" i="80"/>
  <c r="X113" i="80"/>
  <c r="AA113" i="80" s="1"/>
  <c r="V114" i="80"/>
  <c r="X114" i="80"/>
  <c r="AA114" i="80"/>
  <c r="V115" i="80"/>
  <c r="X115" i="80"/>
  <c r="V116" i="80"/>
  <c r="X116" i="80" s="1"/>
  <c r="V117" i="80"/>
  <c r="X117" i="80"/>
  <c r="V119" i="80"/>
  <c r="X119" i="80"/>
  <c r="AA119" i="80" s="1"/>
  <c r="V121" i="80"/>
  <c r="X121" i="80"/>
  <c r="AA121" i="80" s="1"/>
  <c r="T118" i="80"/>
  <c r="V118" i="80"/>
  <c r="X118" i="80"/>
  <c r="AA118" i="80"/>
  <c r="E109" i="80"/>
  <c r="F109" i="80"/>
  <c r="G109" i="80"/>
  <c r="H109" i="80"/>
  <c r="I109" i="80"/>
  <c r="J109" i="80"/>
  <c r="L109" i="80"/>
  <c r="D109" i="80"/>
  <c r="AC107" i="80"/>
  <c r="T16" i="80"/>
  <c r="T8" i="80"/>
  <c r="O104" i="80"/>
  <c r="P104" i="80"/>
  <c r="S104" i="80"/>
  <c r="AD104" i="80"/>
  <c r="O103" i="80"/>
  <c r="O60" i="80"/>
  <c r="O55" i="80"/>
  <c r="O48" i="80"/>
  <c r="O46" i="80" s="1"/>
  <c r="O40" i="80"/>
  <c r="P40" i="80"/>
  <c r="Q40" i="80"/>
  <c r="Z40" i="80" s="1"/>
  <c r="O39" i="80"/>
  <c r="O35" i="80"/>
  <c r="P35" i="80"/>
  <c r="O30" i="80"/>
  <c r="O18" i="80"/>
  <c r="P18" i="80" s="1"/>
  <c r="R18" i="80" s="1"/>
  <c r="S18" i="80"/>
  <c r="N17" i="81" s="1"/>
  <c r="N33" i="81"/>
  <c r="S108" i="80"/>
  <c r="S107" i="80"/>
  <c r="V108" i="80"/>
  <c r="P108" i="80"/>
  <c r="K107" i="80"/>
  <c r="AN107" i="80"/>
  <c r="AM107" i="80"/>
  <c r="AL107" i="80"/>
  <c r="AK107" i="80"/>
  <c r="AI107" i="80"/>
  <c r="AH107" i="80"/>
  <c r="AG107" i="80"/>
  <c r="AF107" i="80"/>
  <c r="AE107" i="80"/>
  <c r="C107" i="80"/>
  <c r="V106" i="80"/>
  <c r="P106" i="80"/>
  <c r="R106" i="80"/>
  <c r="S106" i="80" s="1"/>
  <c r="K106" i="80"/>
  <c r="M106" i="80"/>
  <c r="V105" i="80"/>
  <c r="P105" i="80"/>
  <c r="K105" i="80"/>
  <c r="V104" i="80"/>
  <c r="X104" i="80"/>
  <c r="AA104" i="80" s="1"/>
  <c r="Q104" i="80"/>
  <c r="K104" i="80"/>
  <c r="M104" i="80"/>
  <c r="V103" i="80"/>
  <c r="K103" i="80"/>
  <c r="M103" i="80"/>
  <c r="V102" i="80"/>
  <c r="W102" i="80" s="1"/>
  <c r="Y102" i="80" s="1"/>
  <c r="O100" i="81" s="1"/>
  <c r="O102" i="80"/>
  <c r="K102" i="80"/>
  <c r="AN101" i="80"/>
  <c r="AM101" i="80"/>
  <c r="AM129" i="80"/>
  <c r="AL101" i="80"/>
  <c r="AK101" i="80"/>
  <c r="AJ101" i="80"/>
  <c r="AI101" i="80"/>
  <c r="AI129" i="80" s="1"/>
  <c r="AH101" i="80"/>
  <c r="AG101" i="80"/>
  <c r="AF101" i="80"/>
  <c r="AE101" i="80"/>
  <c r="AC101" i="80"/>
  <c r="U101" i="80"/>
  <c r="T101" i="80"/>
  <c r="N101" i="80"/>
  <c r="L101" i="80"/>
  <c r="J101" i="80"/>
  <c r="I101" i="80"/>
  <c r="H101" i="80"/>
  <c r="G101" i="80"/>
  <c r="F101" i="80"/>
  <c r="E101" i="80"/>
  <c r="D101" i="80"/>
  <c r="C101" i="80"/>
  <c r="V100" i="80"/>
  <c r="P100" i="80"/>
  <c r="R100" i="80"/>
  <c r="S100" i="80"/>
  <c r="K100" i="80"/>
  <c r="M100" i="80" s="1"/>
  <c r="V99" i="80"/>
  <c r="W99" i="80"/>
  <c r="Y99" i="80"/>
  <c r="P99" i="80"/>
  <c r="Q99" i="80"/>
  <c r="N95" i="81"/>
  <c r="K99" i="80"/>
  <c r="M99" i="80" s="1"/>
  <c r="V98" i="80"/>
  <c r="X98" i="80"/>
  <c r="AA98" i="80" s="1"/>
  <c r="P98" i="80"/>
  <c r="Q98" i="80" s="1"/>
  <c r="K98" i="80"/>
  <c r="M98" i="80" s="1"/>
  <c r="V97" i="80"/>
  <c r="W97" i="80"/>
  <c r="Y97" i="80"/>
  <c r="AB97" i="80" s="1"/>
  <c r="P97" i="80"/>
  <c r="R97" i="80"/>
  <c r="S97" i="80"/>
  <c r="K97" i="80"/>
  <c r="M97" i="80"/>
  <c r="V96" i="80"/>
  <c r="X96" i="80" s="1"/>
  <c r="N96" i="80"/>
  <c r="P96" i="80"/>
  <c r="Q96" i="80"/>
  <c r="N93" i="81" s="1"/>
  <c r="K96" i="80"/>
  <c r="M96" i="80"/>
  <c r="V95" i="80"/>
  <c r="X95" i="80"/>
  <c r="P95" i="80"/>
  <c r="Q95" i="80"/>
  <c r="K95" i="80"/>
  <c r="V94" i="80"/>
  <c r="W94" i="80" s="1"/>
  <c r="Y94" i="80" s="1"/>
  <c r="O91" i="81" s="1"/>
  <c r="P94" i="80"/>
  <c r="Q94" i="80" s="1"/>
  <c r="K94" i="80"/>
  <c r="M94" i="80"/>
  <c r="V93" i="80"/>
  <c r="X93" i="80" s="1"/>
  <c r="AA93" i="80" s="1"/>
  <c r="P93" i="80"/>
  <c r="R93" i="80"/>
  <c r="S93" i="80" s="1"/>
  <c r="K93" i="80"/>
  <c r="M93" i="80"/>
  <c r="V92" i="80"/>
  <c r="P92" i="80"/>
  <c r="R92" i="80" s="1"/>
  <c r="S92" i="80" s="1"/>
  <c r="K92" i="80"/>
  <c r="M92" i="80" s="1"/>
  <c r="AI91" i="80"/>
  <c r="AH91" i="80"/>
  <c r="AG91" i="80"/>
  <c r="AF91" i="80"/>
  <c r="AE91" i="80"/>
  <c r="X91" i="80"/>
  <c r="W91" i="80"/>
  <c r="Y91" i="80" s="1"/>
  <c r="R91" i="80"/>
  <c r="L91" i="80"/>
  <c r="J91" i="80"/>
  <c r="I91" i="80"/>
  <c r="H91" i="80"/>
  <c r="G91" i="80"/>
  <c r="F91" i="80"/>
  <c r="E91" i="80"/>
  <c r="D91" i="80"/>
  <c r="C91" i="80"/>
  <c r="T88" i="80"/>
  <c r="V88" i="80" s="1"/>
  <c r="X88" i="80" s="1"/>
  <c r="P88" i="80"/>
  <c r="K88" i="80"/>
  <c r="M88" i="80" s="1"/>
  <c r="V87" i="80"/>
  <c r="W87" i="80" s="1"/>
  <c r="Y87" i="80" s="1"/>
  <c r="AB87" i="80" s="1"/>
  <c r="P87" i="80"/>
  <c r="Q87" i="80" s="1"/>
  <c r="Z87" i="80" s="1"/>
  <c r="K87" i="80"/>
  <c r="M87" i="80"/>
  <c r="V86" i="80"/>
  <c r="P86" i="80"/>
  <c r="K86" i="80"/>
  <c r="M86" i="80"/>
  <c r="V85" i="80"/>
  <c r="W85" i="80"/>
  <c r="Y85" i="80"/>
  <c r="X85" i="80"/>
  <c r="P85" i="80"/>
  <c r="Q85" i="80" s="1"/>
  <c r="K85" i="80"/>
  <c r="M85" i="80"/>
  <c r="V84" i="80"/>
  <c r="W84" i="80" s="1"/>
  <c r="Y84" i="80" s="1"/>
  <c r="AB84" i="80"/>
  <c r="P84" i="80"/>
  <c r="K84" i="80"/>
  <c r="M84" i="80"/>
  <c r="V83" i="80"/>
  <c r="X83" i="80" s="1"/>
  <c r="P83" i="80"/>
  <c r="Q83" i="80"/>
  <c r="K83" i="80"/>
  <c r="M83" i="80" s="1"/>
  <c r="V82" i="80"/>
  <c r="X82" i="80" s="1"/>
  <c r="P82" i="80"/>
  <c r="R82" i="80"/>
  <c r="S82" i="80"/>
  <c r="N80" i="81" s="1"/>
  <c r="K82" i="80"/>
  <c r="M82" i="80"/>
  <c r="V81" i="80"/>
  <c r="P81" i="80"/>
  <c r="Q81" i="80" s="1"/>
  <c r="K81" i="80"/>
  <c r="M81" i="80"/>
  <c r="T80" i="80"/>
  <c r="V80" i="80"/>
  <c r="W80" i="80"/>
  <c r="P80" i="80"/>
  <c r="K80" i="80"/>
  <c r="M80" i="80"/>
  <c r="V79" i="80"/>
  <c r="W79" i="80" s="1"/>
  <c r="Y79" i="80" s="1"/>
  <c r="O77" i="81" s="1"/>
  <c r="O79" i="80"/>
  <c r="P79" i="80" s="1"/>
  <c r="K79" i="80"/>
  <c r="M79" i="80"/>
  <c r="V78" i="80"/>
  <c r="X78" i="80" s="1"/>
  <c r="AA78" i="80" s="1"/>
  <c r="O78" i="80"/>
  <c r="K78" i="80"/>
  <c r="V77" i="80"/>
  <c r="W77" i="80"/>
  <c r="Y77" i="80"/>
  <c r="O75" i="81" s="1"/>
  <c r="P77" i="80"/>
  <c r="Q77" i="80"/>
  <c r="K77" i="80"/>
  <c r="M77" i="80" s="1"/>
  <c r="V76" i="80"/>
  <c r="P76" i="80"/>
  <c r="Q76" i="80"/>
  <c r="K76" i="80"/>
  <c r="M76" i="80"/>
  <c r="V75" i="80"/>
  <c r="W75" i="80"/>
  <c r="P75" i="80"/>
  <c r="Q75" i="80"/>
  <c r="K75" i="80"/>
  <c r="M75" i="80"/>
  <c r="AN74" i="80"/>
  <c r="AM74" i="80"/>
  <c r="AL74" i="80"/>
  <c r="AK74" i="80"/>
  <c r="AJ74" i="80"/>
  <c r="AI74" i="80"/>
  <c r="AH74" i="80"/>
  <c r="AG74" i="80"/>
  <c r="AF74" i="80"/>
  <c r="AE74" i="80"/>
  <c r="AC74" i="80"/>
  <c r="U74" i="80"/>
  <c r="N74" i="80"/>
  <c r="L74" i="80"/>
  <c r="J74" i="80"/>
  <c r="I74" i="80"/>
  <c r="H74" i="80"/>
  <c r="G74" i="80"/>
  <c r="F74" i="80"/>
  <c r="E74" i="80"/>
  <c r="D74" i="80"/>
  <c r="C74" i="80"/>
  <c r="V73" i="80"/>
  <c r="W73" i="80"/>
  <c r="Y73" i="80" s="1"/>
  <c r="P73" i="80"/>
  <c r="R73" i="80"/>
  <c r="S73" i="80"/>
  <c r="K73" i="80"/>
  <c r="M73" i="80"/>
  <c r="V72" i="80"/>
  <c r="P72" i="80"/>
  <c r="K72" i="80"/>
  <c r="M72" i="80"/>
  <c r="V71" i="80"/>
  <c r="P71" i="80"/>
  <c r="Q71" i="80" s="1"/>
  <c r="K71" i="80"/>
  <c r="M71" i="80"/>
  <c r="V70" i="80"/>
  <c r="P70" i="80"/>
  <c r="R70" i="80"/>
  <c r="S70" i="80"/>
  <c r="N68" i="81"/>
  <c r="K70" i="80"/>
  <c r="M70" i="80"/>
  <c r="V69" i="80"/>
  <c r="P69" i="80"/>
  <c r="Q69" i="80"/>
  <c r="K69" i="80"/>
  <c r="M69" i="80"/>
  <c r="V68" i="80"/>
  <c r="X68" i="80"/>
  <c r="AA68" i="80"/>
  <c r="P68" i="80"/>
  <c r="K68" i="80"/>
  <c r="M68" i="80"/>
  <c r="V67" i="80"/>
  <c r="W67" i="80" s="1"/>
  <c r="Y67" i="80" s="1"/>
  <c r="AB67" i="80" s="1"/>
  <c r="P67" i="80"/>
  <c r="Q67" i="80" s="1"/>
  <c r="Z67" i="80" s="1"/>
  <c r="K67" i="80"/>
  <c r="M67" i="80"/>
  <c r="V66" i="80"/>
  <c r="X66" i="80"/>
  <c r="P66" i="80"/>
  <c r="K66" i="80"/>
  <c r="M66" i="80" s="1"/>
  <c r="AA66" i="80" s="1"/>
  <c r="V63" i="80"/>
  <c r="W63" i="80"/>
  <c r="P63" i="80"/>
  <c r="K63" i="80"/>
  <c r="M63" i="80"/>
  <c r="T62" i="80"/>
  <c r="P62" i="80"/>
  <c r="K62" i="80"/>
  <c r="M62" i="80"/>
  <c r="U61" i="80"/>
  <c r="V61" i="80" s="1"/>
  <c r="W61" i="80" s="1"/>
  <c r="Y61" i="80" s="1"/>
  <c r="P61" i="80"/>
  <c r="V60" i="80"/>
  <c r="X60" i="80"/>
  <c r="P60" i="80"/>
  <c r="Q60" i="80"/>
  <c r="K60" i="80"/>
  <c r="M60" i="80" s="1"/>
  <c r="Z60" i="80" s="1"/>
  <c r="V59" i="80"/>
  <c r="X59" i="80"/>
  <c r="P59" i="80"/>
  <c r="R59" i="80" s="1"/>
  <c r="S59" i="80" s="1"/>
  <c r="N58" i="81" s="1"/>
  <c r="K59" i="80"/>
  <c r="M59" i="80" s="1"/>
  <c r="V58" i="80"/>
  <c r="X58" i="80"/>
  <c r="P58" i="80"/>
  <c r="Q58" i="80"/>
  <c r="K58" i="80"/>
  <c r="M58" i="80" s="1"/>
  <c r="T57" i="80"/>
  <c r="V57" i="80"/>
  <c r="W57" i="80" s="1"/>
  <c r="Y57" i="80" s="1"/>
  <c r="O56" i="81" s="1"/>
  <c r="P57" i="80"/>
  <c r="K57" i="80"/>
  <c r="M57" i="80"/>
  <c r="AB57" i="80"/>
  <c r="T56" i="80"/>
  <c r="V56" i="80"/>
  <c r="W56" i="80"/>
  <c r="Y56" i="80"/>
  <c r="P56" i="80"/>
  <c r="R56" i="80"/>
  <c r="S56" i="80"/>
  <c r="N55" i="81"/>
  <c r="K56" i="80"/>
  <c r="M56" i="80"/>
  <c r="V55" i="80"/>
  <c r="X55" i="80"/>
  <c r="AA55" i="80" s="1"/>
  <c r="K55" i="80"/>
  <c r="M55" i="80"/>
  <c r="V54" i="80"/>
  <c r="P54" i="80"/>
  <c r="AD54" i="80"/>
  <c r="Q54" i="80"/>
  <c r="Z54" i="80" s="1"/>
  <c r="K54" i="80"/>
  <c r="M54" i="80"/>
  <c r="V53" i="80"/>
  <c r="P53" i="80"/>
  <c r="K53" i="80"/>
  <c r="M53" i="80"/>
  <c r="V52" i="80"/>
  <c r="P52" i="80"/>
  <c r="K52" i="80"/>
  <c r="M52" i="80" s="1"/>
  <c r="V51" i="80"/>
  <c r="X51" i="80"/>
  <c r="P51" i="80"/>
  <c r="K51" i="80"/>
  <c r="V50" i="80"/>
  <c r="W50" i="80"/>
  <c r="Y50" i="80"/>
  <c r="O49" i="81"/>
  <c r="P50" i="80"/>
  <c r="K50" i="80"/>
  <c r="M50" i="80"/>
  <c r="V49" i="80"/>
  <c r="X49" i="80" s="1"/>
  <c r="P49" i="80"/>
  <c r="K49" i="80"/>
  <c r="M49" i="80"/>
  <c r="V48" i="80"/>
  <c r="X48" i="80"/>
  <c r="AA48" i="80"/>
  <c r="K48" i="80"/>
  <c r="M48" i="80"/>
  <c r="V47" i="80"/>
  <c r="P47" i="80"/>
  <c r="K47" i="80"/>
  <c r="M47" i="80"/>
  <c r="AN46" i="80"/>
  <c r="AM46" i="80"/>
  <c r="AL46" i="80"/>
  <c r="AK46" i="80"/>
  <c r="AJ46" i="80"/>
  <c r="AI46" i="80"/>
  <c r="AH46" i="80"/>
  <c r="AG46" i="80"/>
  <c r="AF46" i="80"/>
  <c r="AE46" i="80"/>
  <c r="AC46" i="80"/>
  <c r="N46" i="80"/>
  <c r="L46" i="80"/>
  <c r="J46" i="80"/>
  <c r="I46" i="80"/>
  <c r="H46" i="80"/>
  <c r="G46" i="80"/>
  <c r="F46" i="80"/>
  <c r="E46" i="80"/>
  <c r="D46" i="80"/>
  <c r="C46" i="80"/>
  <c r="V44" i="80"/>
  <c r="P44" i="80"/>
  <c r="R44" i="80"/>
  <c r="S44" i="80"/>
  <c r="N43" i="81" s="1"/>
  <c r="K44" i="80"/>
  <c r="M44" i="80"/>
  <c r="V43" i="80"/>
  <c r="P43" i="80"/>
  <c r="R43" i="80"/>
  <c r="S43" i="80"/>
  <c r="N42" i="81" s="1"/>
  <c r="K43" i="80"/>
  <c r="M43" i="80"/>
  <c r="Z43" i="80"/>
  <c r="T42" i="80"/>
  <c r="V42" i="80" s="1"/>
  <c r="P42" i="80"/>
  <c r="K42" i="80"/>
  <c r="M42" i="80"/>
  <c r="V41" i="80"/>
  <c r="P41" i="80"/>
  <c r="R41" i="80"/>
  <c r="S41" i="80"/>
  <c r="N40" i="81" s="1"/>
  <c r="K41" i="80"/>
  <c r="M41" i="80"/>
  <c r="V40" i="80"/>
  <c r="K40" i="80"/>
  <c r="M40" i="80"/>
  <c r="V39" i="80"/>
  <c r="K39" i="80"/>
  <c r="M39" i="80" s="1"/>
  <c r="V38" i="80"/>
  <c r="X38" i="80"/>
  <c r="AA38" i="80"/>
  <c r="P38" i="80"/>
  <c r="R38" i="80"/>
  <c r="S38" i="80"/>
  <c r="N37" i="81"/>
  <c r="K38" i="80"/>
  <c r="M38" i="80"/>
  <c r="V37" i="80"/>
  <c r="W37" i="80" s="1"/>
  <c r="Y37" i="80" s="1"/>
  <c r="O36" i="81" s="1"/>
  <c r="P37" i="80"/>
  <c r="K37" i="80"/>
  <c r="M37" i="80"/>
  <c r="T36" i="80"/>
  <c r="V36" i="80" s="1"/>
  <c r="P36" i="80"/>
  <c r="R36" i="80"/>
  <c r="S36" i="80"/>
  <c r="N35" i="81" s="1"/>
  <c r="K36" i="80"/>
  <c r="M36" i="80"/>
  <c r="V35" i="80"/>
  <c r="K35" i="80"/>
  <c r="M35" i="80"/>
  <c r="V34" i="80"/>
  <c r="P34" i="80"/>
  <c r="R34" i="80" s="1"/>
  <c r="K34" i="80"/>
  <c r="M34" i="80"/>
  <c r="V33" i="80"/>
  <c r="P33" i="80"/>
  <c r="K33" i="80"/>
  <c r="M33" i="80"/>
  <c r="T32" i="80"/>
  <c r="V32" i="80" s="1"/>
  <c r="P32" i="80"/>
  <c r="K32" i="80"/>
  <c r="M32" i="80"/>
  <c r="V31" i="80"/>
  <c r="W31" i="80"/>
  <c r="Y31" i="80"/>
  <c r="P31" i="80"/>
  <c r="K31" i="80"/>
  <c r="M31" i="80"/>
  <c r="U30" i="80"/>
  <c r="U20" i="80" s="1"/>
  <c r="K30" i="80"/>
  <c r="M30" i="80"/>
  <c r="T29" i="80"/>
  <c r="V29" i="80"/>
  <c r="X29" i="80" s="1"/>
  <c r="AA29" i="80" s="1"/>
  <c r="P29" i="80"/>
  <c r="K29" i="80"/>
  <c r="M29" i="80" s="1"/>
  <c r="T28" i="80"/>
  <c r="P28" i="80"/>
  <c r="Q28" i="80" s="1"/>
  <c r="K28" i="80"/>
  <c r="M28" i="80" s="1"/>
  <c r="V27" i="80"/>
  <c r="P27" i="80"/>
  <c r="R27" i="80"/>
  <c r="S27" i="80" s="1"/>
  <c r="N26" i="81"/>
  <c r="K27" i="80"/>
  <c r="M27" i="80"/>
  <c r="V26" i="80"/>
  <c r="P26" i="80"/>
  <c r="K26" i="80"/>
  <c r="M26" i="80" s="1"/>
  <c r="V25" i="80"/>
  <c r="X25" i="80"/>
  <c r="AA25" i="80" s="1"/>
  <c r="P25" i="80"/>
  <c r="K25" i="80"/>
  <c r="M25" i="80"/>
  <c r="V24" i="80"/>
  <c r="P24" i="80"/>
  <c r="K24" i="80"/>
  <c r="M24" i="80"/>
  <c r="V23" i="80"/>
  <c r="X23" i="80"/>
  <c r="P23" i="80"/>
  <c r="K23" i="80"/>
  <c r="M23" i="80" s="1"/>
  <c r="V22" i="80"/>
  <c r="W22" i="80" s="1"/>
  <c r="Y22" i="80" s="1"/>
  <c r="P22" i="80"/>
  <c r="Q22" i="80"/>
  <c r="Z22" i="80" s="1"/>
  <c r="K22" i="80"/>
  <c r="M22" i="80" s="1"/>
  <c r="V21" i="80"/>
  <c r="P21" i="80"/>
  <c r="AD21" i="80"/>
  <c r="K21" i="80"/>
  <c r="M21" i="80"/>
  <c r="V18" i="80"/>
  <c r="X18" i="80"/>
  <c r="AA18" i="80" s="1"/>
  <c r="K18" i="80"/>
  <c r="M18" i="80" s="1"/>
  <c r="T17" i="80"/>
  <c r="V17" i="80" s="1"/>
  <c r="P17" i="80"/>
  <c r="Q17" i="80" s="1"/>
  <c r="Z17" i="80" s="1"/>
  <c r="K17" i="80"/>
  <c r="M17" i="80"/>
  <c r="U16" i="80"/>
  <c r="O16" i="80"/>
  <c r="P16" i="80" s="1"/>
  <c r="K16" i="80"/>
  <c r="M16" i="80" s="1"/>
  <c r="U15" i="80"/>
  <c r="U6" i="80" s="1"/>
  <c r="O15" i="80"/>
  <c r="K15" i="80"/>
  <c r="M15" i="80" s="1"/>
  <c r="V14" i="80"/>
  <c r="P14" i="80"/>
  <c r="K14" i="80"/>
  <c r="M14" i="80"/>
  <c r="V13" i="80"/>
  <c r="O13" i="80"/>
  <c r="P13" i="80"/>
  <c r="R13" i="80" s="1"/>
  <c r="S13" i="80" s="1"/>
  <c r="N12" i="81" s="1"/>
  <c r="K13" i="80"/>
  <c r="M13" i="80"/>
  <c r="V12" i="80"/>
  <c r="X12" i="80"/>
  <c r="P12" i="80"/>
  <c r="R12" i="80"/>
  <c r="S12" i="80" s="1"/>
  <c r="N11" i="81" s="1"/>
  <c r="K12" i="80"/>
  <c r="M12" i="80"/>
  <c r="AA12" i="80"/>
  <c r="V11" i="80"/>
  <c r="O11" i="80"/>
  <c r="P11" i="80" s="1"/>
  <c r="AD11" i="80" s="1"/>
  <c r="K11" i="80"/>
  <c r="M11" i="80" s="1"/>
  <c r="V10" i="80"/>
  <c r="P10" i="80"/>
  <c r="K10" i="80"/>
  <c r="M10" i="80" s="1"/>
  <c r="V9" i="80"/>
  <c r="W9" i="80" s="1"/>
  <c r="Y9" i="80" s="1"/>
  <c r="X9" i="80"/>
  <c r="AA9" i="80" s="1"/>
  <c r="P9" i="80"/>
  <c r="K9" i="80"/>
  <c r="M9" i="80"/>
  <c r="O8" i="80"/>
  <c r="P8" i="80"/>
  <c r="AD8" i="80" s="1"/>
  <c r="K8" i="80"/>
  <c r="V7" i="80"/>
  <c r="W7" i="80" s="1"/>
  <c r="Y7" i="80" s="1"/>
  <c r="O7" i="80"/>
  <c r="L7" i="80"/>
  <c r="L6" i="80"/>
  <c r="K7" i="80"/>
  <c r="AN6" i="80"/>
  <c r="AN129" i="80" s="1"/>
  <c r="AM6" i="80"/>
  <c r="AL6" i="80"/>
  <c r="AK6" i="80"/>
  <c r="AJ6" i="80"/>
  <c r="AI6" i="80"/>
  <c r="AH6" i="80"/>
  <c r="AG6" i="80"/>
  <c r="AF6" i="80"/>
  <c r="AE6" i="80"/>
  <c r="AC6" i="80"/>
  <c r="N6" i="80"/>
  <c r="J6" i="80"/>
  <c r="I6" i="80"/>
  <c r="H6" i="80"/>
  <c r="G6" i="80"/>
  <c r="F6" i="80"/>
  <c r="F129" i="80" s="1"/>
  <c r="E6" i="80"/>
  <c r="E129" i="80" s="1"/>
  <c r="D6" i="80"/>
  <c r="D129" i="80" s="1"/>
  <c r="C6" i="80"/>
  <c r="Q97" i="80"/>
  <c r="R94" i="80"/>
  <c r="S94" i="80"/>
  <c r="Q100" i="80"/>
  <c r="N96" i="81"/>
  <c r="R75" i="80"/>
  <c r="S75" i="80"/>
  <c r="X73" i="80"/>
  <c r="Q93" i="80"/>
  <c r="Q106" i="80"/>
  <c r="W55" i="80"/>
  <c r="Y55" i="80"/>
  <c r="O54" i="81" s="1"/>
  <c r="Q92" i="80"/>
  <c r="Q82" i="80"/>
  <c r="Z82" i="80"/>
  <c r="R95" i="80"/>
  <c r="S95" i="80"/>
  <c r="W98" i="80"/>
  <c r="Y98" i="80"/>
  <c r="O94" i="81" s="1"/>
  <c r="W59" i="80"/>
  <c r="Y59" i="80" s="1"/>
  <c r="Q41" i="80"/>
  <c r="Z41" i="80"/>
  <c r="W60" i="80"/>
  <c r="Y60" i="80"/>
  <c r="W18" i="80"/>
  <c r="Y18" i="80" s="1"/>
  <c r="R98" i="80"/>
  <c r="S98" i="80" s="1"/>
  <c r="W66" i="80"/>
  <c r="Y66" i="80" s="1"/>
  <c r="AB66" i="80" s="1"/>
  <c r="Q43" i="80"/>
  <c r="Q103" i="80"/>
  <c r="X94" i="80"/>
  <c r="AA94" i="80"/>
  <c r="Q73" i="80"/>
  <c r="Q38" i="80"/>
  <c r="Z38" i="80" s="1"/>
  <c r="R83" i="80"/>
  <c r="S83" i="80"/>
  <c r="N81" i="81" s="1"/>
  <c r="P55" i="80"/>
  <c r="R55" i="80" s="1"/>
  <c r="S55" i="80" s="1"/>
  <c r="N54" i="81" s="1"/>
  <c r="R87" i="80"/>
  <c r="S87" i="80"/>
  <c r="N87" i="81" s="1"/>
  <c r="X99" i="80"/>
  <c r="AA99" i="80" s="1"/>
  <c r="W78" i="80"/>
  <c r="Y78" i="80"/>
  <c r="W51" i="80"/>
  <c r="Y51" i="80"/>
  <c r="O50" i="81" s="1"/>
  <c r="Q57" i="80"/>
  <c r="X77" i="80"/>
  <c r="Q70" i="80"/>
  <c r="X22" i="80"/>
  <c r="W23" i="80"/>
  <c r="Y23" i="80" s="1"/>
  <c r="O22" i="81" s="1"/>
  <c r="X54" i="80"/>
  <c r="AA54" i="80" s="1"/>
  <c r="W54" i="80"/>
  <c r="Y54" i="80"/>
  <c r="O53" i="81" s="1"/>
  <c r="R58" i="80"/>
  <c r="S58" i="80" s="1"/>
  <c r="N57" i="81" s="1"/>
  <c r="W81" i="80"/>
  <c r="Y81" i="80"/>
  <c r="X81" i="80"/>
  <c r="W41" i="80"/>
  <c r="Y41" i="80" s="1"/>
  <c r="X41" i="80"/>
  <c r="AA41" i="80" s="1"/>
  <c r="R71" i="80"/>
  <c r="S71" i="80" s="1"/>
  <c r="N69" i="81" s="1"/>
  <c r="R72" i="80"/>
  <c r="S72" i="80"/>
  <c r="Q72" i="80"/>
  <c r="Z72" i="80"/>
  <c r="W86" i="80"/>
  <c r="Y86" i="80"/>
  <c r="X86" i="80"/>
  <c r="AA86" i="80" s="1"/>
  <c r="Q31" i="80"/>
  <c r="Z31" i="80" s="1"/>
  <c r="R31" i="80"/>
  <c r="S31" i="80" s="1"/>
  <c r="N30" i="81" s="1"/>
  <c r="W43" i="80"/>
  <c r="Y43" i="80"/>
  <c r="X43" i="80"/>
  <c r="AA43" i="80"/>
  <c r="Q88" i="80"/>
  <c r="R88" i="80"/>
  <c r="S88" i="80" s="1"/>
  <c r="N88" i="81"/>
  <c r="W100" i="80"/>
  <c r="Y100" i="80"/>
  <c r="AB100" i="80" s="1"/>
  <c r="X100" i="80"/>
  <c r="AA100" i="80" s="1"/>
  <c r="R81" i="80"/>
  <c r="S81" i="80"/>
  <c r="N79" i="81" s="1"/>
  <c r="X7" i="80"/>
  <c r="R24" i="80"/>
  <c r="S24" i="80"/>
  <c r="N23" i="81" s="1"/>
  <c r="Q24" i="80"/>
  <c r="Z24" i="80" s="1"/>
  <c r="W25" i="80"/>
  <c r="Y25" i="80" s="1"/>
  <c r="R85" i="80"/>
  <c r="S85" i="80"/>
  <c r="N85" i="81" s="1"/>
  <c r="X44" i="80"/>
  <c r="W44" i="80"/>
  <c r="Y44" i="80"/>
  <c r="Q62" i="80"/>
  <c r="Z62" i="80"/>
  <c r="R62" i="80"/>
  <c r="S62" i="80"/>
  <c r="N60" i="81" s="1"/>
  <c r="R84" i="80"/>
  <c r="S84" i="80" s="1"/>
  <c r="N82" i="81" s="1"/>
  <c r="Q84" i="80"/>
  <c r="Z84" i="80"/>
  <c r="X31" i="80"/>
  <c r="AA31" i="80" s="1"/>
  <c r="W90" i="80"/>
  <c r="Y90" i="80"/>
  <c r="AB90" i="80" s="1"/>
  <c r="Q64" i="80"/>
  <c r="Z64" i="80" s="1"/>
  <c r="R96" i="80"/>
  <c r="S96" i="80" s="1"/>
  <c r="O85" i="81"/>
  <c r="Q44" i="80"/>
  <c r="R77" i="80"/>
  <c r="S77" i="80" s="1"/>
  <c r="N75" i="81" s="1"/>
  <c r="X102" i="80"/>
  <c r="M95" i="80"/>
  <c r="AA95" i="80" s="1"/>
  <c r="P103" i="80"/>
  <c r="R103" i="80" s="1"/>
  <c r="W95" i="80"/>
  <c r="Y95" i="80" s="1"/>
  <c r="R22" i="80"/>
  <c r="S22" i="80" s="1"/>
  <c r="N21" i="81" s="1"/>
  <c r="W33" i="80"/>
  <c r="Y33" i="80" s="1"/>
  <c r="X33" i="80"/>
  <c r="AA33" i="80" s="1"/>
  <c r="W26" i="80"/>
  <c r="Y26" i="80" s="1"/>
  <c r="AB26" i="80" s="1"/>
  <c r="X26" i="80"/>
  <c r="W40" i="80"/>
  <c r="Y40" i="80"/>
  <c r="O39" i="81" s="1"/>
  <c r="X40" i="80"/>
  <c r="AA40" i="80" s="1"/>
  <c r="Y75" i="80"/>
  <c r="W103" i="80"/>
  <c r="Y103" i="80"/>
  <c r="X103" i="80"/>
  <c r="AA103" i="80"/>
  <c r="M105" i="80"/>
  <c r="AA44" i="80"/>
  <c r="L8" i="82"/>
  <c r="Y80" i="80"/>
  <c r="O78" i="81"/>
  <c r="X80" i="80"/>
  <c r="AA80" i="80"/>
  <c r="R21" i="80"/>
  <c r="Q21" i="80"/>
  <c r="R76" i="80"/>
  <c r="S76" i="80" s="1"/>
  <c r="N74" i="81" s="1"/>
  <c r="W83" i="80"/>
  <c r="Y83" i="80"/>
  <c r="AB83" i="80" s="1"/>
  <c r="Q90" i="80"/>
  <c r="Z90" i="80" s="1"/>
  <c r="AB79" i="80"/>
  <c r="AD58" i="80"/>
  <c r="AA59" i="80"/>
  <c r="X57" i="80"/>
  <c r="X71" i="80"/>
  <c r="AA71" i="80"/>
  <c r="W71" i="80"/>
  <c r="Y71" i="80"/>
  <c r="AB71" i="80" s="1"/>
  <c r="AD14" i="80"/>
  <c r="AD23" i="80"/>
  <c r="Q23" i="80"/>
  <c r="R86" i="80"/>
  <c r="S86" i="80" s="1"/>
  <c r="N86" i="81" s="1"/>
  <c r="Q86" i="80"/>
  <c r="Z86" i="80"/>
  <c r="R50" i="80"/>
  <c r="S50" i="80"/>
  <c r="N49" i="81" s="1"/>
  <c r="Q50" i="80"/>
  <c r="Z50" i="80" s="1"/>
  <c r="V15" i="80"/>
  <c r="R28" i="80"/>
  <c r="S28" i="80" s="1"/>
  <c r="R49" i="80"/>
  <c r="S49" i="80" s="1"/>
  <c r="N48" i="81" s="1"/>
  <c r="Q49" i="80"/>
  <c r="X67" i="80"/>
  <c r="AA67" i="80" s="1"/>
  <c r="X92" i="80"/>
  <c r="W92" i="80"/>
  <c r="Y92" i="80" s="1"/>
  <c r="O90" i="81"/>
  <c r="X61" i="80"/>
  <c r="AA61" i="80"/>
  <c r="R23" i="80"/>
  <c r="S23" i="80"/>
  <c r="N22" i="81" s="1"/>
  <c r="W93" i="80"/>
  <c r="Y93" i="80" s="1"/>
  <c r="AB93" i="80"/>
  <c r="R42" i="80"/>
  <c r="S42" i="80"/>
  <c r="N41" i="81" s="1"/>
  <c r="P39" i="80"/>
  <c r="X79" i="80"/>
  <c r="AA79" i="80" s="1"/>
  <c r="Q10" i="80"/>
  <c r="Z10" i="80" s="1"/>
  <c r="AA73" i="80"/>
  <c r="Z100" i="80"/>
  <c r="O25" i="81"/>
  <c r="X97" i="80"/>
  <c r="AA97" i="80" s="1"/>
  <c r="Q56" i="80"/>
  <c r="Z56" i="80"/>
  <c r="Q27" i="80"/>
  <c r="Z27" i="80"/>
  <c r="W82" i="80"/>
  <c r="Y82" i="80"/>
  <c r="AB94" i="80"/>
  <c r="X11" i="80"/>
  <c r="W11" i="80"/>
  <c r="Y11" i="80"/>
  <c r="O10" i="81" s="1"/>
  <c r="Q33" i="80"/>
  <c r="Z33" i="80" s="1"/>
  <c r="R33" i="80"/>
  <c r="S33" i="80" s="1"/>
  <c r="N32" i="81" s="1"/>
  <c r="X76" i="80"/>
  <c r="AA76" i="80" s="1"/>
  <c r="W76" i="80"/>
  <c r="Y76" i="80" s="1"/>
  <c r="O8" i="81"/>
  <c r="R69" i="80"/>
  <c r="S69" i="80"/>
  <c r="N67" i="81" s="1"/>
  <c r="X50" i="80"/>
  <c r="AA50" i="80"/>
  <c r="M7" i="80"/>
  <c r="Z75" i="80"/>
  <c r="Z77" i="80"/>
  <c r="Z85" i="80"/>
  <c r="Z104" i="80"/>
  <c r="Z73" i="80"/>
  <c r="V16" i="80"/>
  <c r="X16" i="80" s="1"/>
  <c r="AA16" i="80" s="1"/>
  <c r="AB98" i="80"/>
  <c r="X106" i="80"/>
  <c r="AA106" i="80"/>
  <c r="W106" i="80"/>
  <c r="Y106" i="80"/>
  <c r="O104" i="81" s="1"/>
  <c r="AD9" i="80"/>
  <c r="R9" i="80"/>
  <c r="S9" i="80"/>
  <c r="N8" i="81" s="1"/>
  <c r="Q9" i="80"/>
  <c r="Z9" i="80" s="1"/>
  <c r="W58" i="80"/>
  <c r="Y58" i="80" s="1"/>
  <c r="Z70" i="80"/>
  <c r="R105" i="80"/>
  <c r="S105" i="80"/>
  <c r="Q105" i="80"/>
  <c r="Z105" i="80"/>
  <c r="W96" i="80"/>
  <c r="Y96" i="80"/>
  <c r="O93" i="81" s="1"/>
  <c r="O79" i="81"/>
  <c r="W29" i="80"/>
  <c r="Y29" i="80"/>
  <c r="AA77" i="80"/>
  <c r="T74" i="80"/>
  <c r="V74" i="80"/>
  <c r="W74" i="80" s="1"/>
  <c r="Y74" i="80" s="1"/>
  <c r="W32" i="80"/>
  <c r="Y32" i="80"/>
  <c r="X32" i="80"/>
  <c r="AA32" i="80"/>
  <c r="X35" i="80"/>
  <c r="W35" i="80"/>
  <c r="Y35" i="80" s="1"/>
  <c r="AB35" i="80"/>
  <c r="W38" i="80"/>
  <c r="Y38" i="80"/>
  <c r="O37" i="81" s="1"/>
  <c r="W39" i="80"/>
  <c r="Y39" i="80" s="1"/>
  <c r="X39" i="80"/>
  <c r="AA39" i="80" s="1"/>
  <c r="O55" i="81"/>
  <c r="X56" i="80"/>
  <c r="AA56" i="80"/>
  <c r="R67" i="80"/>
  <c r="S67" i="80"/>
  <c r="N65" i="81" s="1"/>
  <c r="R68" i="80"/>
  <c r="S68" i="80" s="1"/>
  <c r="N66" i="81" s="1"/>
  <c r="Q68" i="80"/>
  <c r="Z68" i="80"/>
  <c r="Z71" i="80"/>
  <c r="AB73" i="80"/>
  <c r="M102" i="80"/>
  <c r="AA102" i="80"/>
  <c r="K101" i="80"/>
  <c r="V64" i="80"/>
  <c r="X64" i="80"/>
  <c r="AA64" i="80" s="1"/>
  <c r="P15" i="80"/>
  <c r="Q15" i="80"/>
  <c r="Z15" i="80" s="1"/>
  <c r="X72" i="80"/>
  <c r="AA72" i="80" s="1"/>
  <c r="W72" i="80"/>
  <c r="Y72" i="80" s="1"/>
  <c r="AB72" i="80"/>
  <c r="Z76" i="80"/>
  <c r="W88" i="80"/>
  <c r="Y88" i="80" s="1"/>
  <c r="X84" i="80"/>
  <c r="AA84" i="80" s="1"/>
  <c r="X52" i="80"/>
  <c r="W52" i="80"/>
  <c r="Y52" i="80" s="1"/>
  <c r="AD35" i="80"/>
  <c r="Q35" i="80"/>
  <c r="Z35" i="80" s="1"/>
  <c r="R35" i="80"/>
  <c r="S35" i="80" s="1"/>
  <c r="N34" i="81" s="1"/>
  <c r="AD57" i="80"/>
  <c r="R57" i="80"/>
  <c r="S57" i="80" s="1"/>
  <c r="N56" i="81" s="1"/>
  <c r="AA112" i="80"/>
  <c r="W12" i="80"/>
  <c r="Y12" i="80" s="1"/>
  <c r="V30" i="80"/>
  <c r="X30" i="80" s="1"/>
  <c r="AA30" i="80" s="1"/>
  <c r="M101" i="80"/>
  <c r="W64" i="80"/>
  <c r="Y64" i="80" s="1"/>
  <c r="AB64" i="80" s="1"/>
  <c r="AD15" i="80"/>
  <c r="X108" i="80"/>
  <c r="N106" i="81"/>
  <c r="N105" i="81" s="1"/>
  <c r="AB80" i="80"/>
  <c r="Y63" i="80"/>
  <c r="O62" i="81"/>
  <c r="X63" i="80"/>
  <c r="AA63" i="80"/>
  <c r="W36" i="80"/>
  <c r="Y36" i="80"/>
  <c r="O35" i="81" s="1"/>
  <c r="X36" i="80"/>
  <c r="R53" i="80"/>
  <c r="S53" i="80"/>
  <c r="N52" i="81" s="1"/>
  <c r="Q53" i="80"/>
  <c r="Z53" i="80" s="1"/>
  <c r="R54" i="80"/>
  <c r="S54" i="80" s="1"/>
  <c r="N53" i="81" s="1"/>
  <c r="P107" i="80"/>
  <c r="Q108" i="80"/>
  <c r="Q107" i="80"/>
  <c r="AD52" i="80"/>
  <c r="R52" i="80"/>
  <c r="S52" i="80" s="1"/>
  <c r="N51" i="81" s="1"/>
  <c r="Q52" i="80"/>
  <c r="AB77" i="80"/>
  <c r="X75" i="80"/>
  <c r="AD17" i="80"/>
  <c r="R104" i="80"/>
  <c r="R10" i="80"/>
  <c r="S10" i="80" s="1"/>
  <c r="AD10" i="80"/>
  <c r="R32" i="80"/>
  <c r="S32" i="80" s="1"/>
  <c r="N31" i="81"/>
  <c r="Q32" i="80"/>
  <c r="Z32" i="80"/>
  <c r="X45" i="80"/>
  <c r="W45" i="80"/>
  <c r="Y45" i="80" s="1"/>
  <c r="AB45" i="80" s="1"/>
  <c r="W108" i="80"/>
  <c r="Y108" i="80"/>
  <c r="V107" i="80"/>
  <c r="M122" i="80"/>
  <c r="AA110" i="80"/>
  <c r="X105" i="81"/>
  <c r="Q45" i="80"/>
  <c r="Z45" i="80" s="1"/>
  <c r="V28" i="80"/>
  <c r="M108" i="80"/>
  <c r="M107" i="80" s="1"/>
  <c r="Z108" i="80"/>
  <c r="Z107" i="80" s="1"/>
  <c r="AD107" i="80"/>
  <c r="AA75" i="80"/>
  <c r="AB63" i="80"/>
  <c r="W107" i="80"/>
  <c r="N9" i="81"/>
  <c r="T107" i="81"/>
  <c r="S107" i="81"/>
  <c r="P107" i="81"/>
  <c r="Q40" i="85"/>
  <c r="Z40" i="85" s="1"/>
  <c r="R40" i="85"/>
  <c r="S40" i="85" s="1"/>
  <c r="P78" i="85"/>
  <c r="O73" i="85"/>
  <c r="R10" i="85"/>
  <c r="S10" i="85" s="1"/>
  <c r="Q10" i="85"/>
  <c r="Q17" i="85"/>
  <c r="Z17" i="85" s="1"/>
  <c r="AD18" i="85"/>
  <c r="R18" i="85"/>
  <c r="S18" i="85"/>
  <c r="Q23" i="85"/>
  <c r="Z23" i="85"/>
  <c r="R23" i="85"/>
  <c r="S23" i="85"/>
  <c r="AD23" i="85"/>
  <c r="Q38" i="85"/>
  <c r="R38" i="85"/>
  <c r="S38" i="85"/>
  <c r="W40" i="85"/>
  <c r="Y40" i="85"/>
  <c r="AB40" i="85" s="1"/>
  <c r="X40" i="85"/>
  <c r="AA40" i="85" s="1"/>
  <c r="M48" i="85"/>
  <c r="P7" i="85"/>
  <c r="AD7" i="85"/>
  <c r="AD10" i="85"/>
  <c r="Q11" i="85"/>
  <c r="W14" i="85"/>
  <c r="Y14" i="85" s="1"/>
  <c r="AB14" i="85"/>
  <c r="AD17" i="85"/>
  <c r="R22" i="85"/>
  <c r="S22" i="85" s="1"/>
  <c r="Q22" i="85"/>
  <c r="W28" i="85"/>
  <c r="Y28" i="85"/>
  <c r="AB28" i="85" s="1"/>
  <c r="X28" i="85"/>
  <c r="AA28" i="85" s="1"/>
  <c r="Y38" i="85"/>
  <c r="AB38" i="85" s="1"/>
  <c r="X38" i="85"/>
  <c r="AA38" i="85" s="1"/>
  <c r="W45" i="85"/>
  <c r="Y45" i="85" s="1"/>
  <c r="AB45" i="85"/>
  <c r="X45" i="85"/>
  <c r="W71" i="85"/>
  <c r="Y71" i="85" s="1"/>
  <c r="AB71" i="85" s="1"/>
  <c r="X71" i="85"/>
  <c r="X7" i="85"/>
  <c r="W7" i="85"/>
  <c r="AD16" i="85"/>
  <c r="R16" i="85"/>
  <c r="S16" i="85"/>
  <c r="W26" i="85"/>
  <c r="Y26" i="85"/>
  <c r="AB26" i="85" s="1"/>
  <c r="X26" i="85"/>
  <c r="AA26" i="85" s="1"/>
  <c r="Q8" i="85"/>
  <c r="Z8" i="85" s="1"/>
  <c r="X10" i="85"/>
  <c r="AA10" i="85" s="1"/>
  <c r="W10" i="85"/>
  <c r="Y10" i="85" s="1"/>
  <c r="AB10" i="85"/>
  <c r="R13" i="85"/>
  <c r="S13" i="85"/>
  <c r="AD14" i="85"/>
  <c r="R14" i="85"/>
  <c r="W18" i="85"/>
  <c r="Y18" i="85" s="1"/>
  <c r="AB18" i="85"/>
  <c r="W34" i="85"/>
  <c r="Y34" i="85" s="1"/>
  <c r="X34" i="85"/>
  <c r="AB62" i="85"/>
  <c r="Q49" i="85"/>
  <c r="Z49" i="85" s="1"/>
  <c r="R49" i="85"/>
  <c r="S49" i="85" s="1"/>
  <c r="AB50" i="85"/>
  <c r="Q61" i="85"/>
  <c r="Z61" i="85"/>
  <c r="R61" i="85"/>
  <c r="S61" i="85"/>
  <c r="W63" i="85"/>
  <c r="Y63" i="85"/>
  <c r="AB63" i="85" s="1"/>
  <c r="X63" i="85"/>
  <c r="Q67" i="85"/>
  <c r="Z67" i="85" s="1"/>
  <c r="R67" i="85"/>
  <c r="S67" i="85" s="1"/>
  <c r="W80" i="85"/>
  <c r="Y80" i="85" s="1"/>
  <c r="AB80" i="85" s="1"/>
  <c r="AA80" i="85"/>
  <c r="Z21" i="85"/>
  <c r="Q26" i="85"/>
  <c r="Z26" i="85"/>
  <c r="R26" i="85"/>
  <c r="S26" i="85"/>
  <c r="Z27" i="85"/>
  <c r="V30" i="85"/>
  <c r="U20" i="85"/>
  <c r="W49" i="85"/>
  <c r="Y49" i="85" s="1"/>
  <c r="AB49" i="85" s="1"/>
  <c r="X49" i="85"/>
  <c r="AA49" i="85"/>
  <c r="Q51" i="85"/>
  <c r="Z51" i="85"/>
  <c r="S51" i="85"/>
  <c r="Z54" i="85"/>
  <c r="AA54" i="85"/>
  <c r="P55" i="85"/>
  <c r="P46" i="85" s="1"/>
  <c r="O46" i="85"/>
  <c r="Q57" i="85"/>
  <c r="Z57" i="85" s="1"/>
  <c r="R57" i="85"/>
  <c r="S57" i="85" s="1"/>
  <c r="X61" i="85"/>
  <c r="AA61" i="85" s="1"/>
  <c r="W61" i="85"/>
  <c r="Y61" i="85" s="1"/>
  <c r="AB61" i="85" s="1"/>
  <c r="Z62" i="85"/>
  <c r="AA62" i="85"/>
  <c r="W67" i="85"/>
  <c r="Y67" i="85"/>
  <c r="AB67" i="85" s="1"/>
  <c r="X67" i="85"/>
  <c r="F128" i="85"/>
  <c r="AA21" i="85"/>
  <c r="Y23" i="85"/>
  <c r="AB23" i="85" s="1"/>
  <c r="X23" i="85"/>
  <c r="AA23" i="85" s="1"/>
  <c r="Q25" i="85"/>
  <c r="AD26" i="85"/>
  <c r="W51" i="85"/>
  <c r="Y51" i="85"/>
  <c r="AB51" i="85" s="1"/>
  <c r="X51" i="85"/>
  <c r="AA51" i="85" s="1"/>
  <c r="AB53" i="85"/>
  <c r="X57" i="85"/>
  <c r="AA57" i="85"/>
  <c r="W57" i="85"/>
  <c r="Y57" i="85"/>
  <c r="AB57" i="85" s="1"/>
  <c r="Z68" i="85"/>
  <c r="Q71" i="85"/>
  <c r="R71" i="85"/>
  <c r="S71" i="85" s="1"/>
  <c r="Q77" i="85"/>
  <c r="Z77" i="85" s="1"/>
  <c r="R77" i="85"/>
  <c r="S77" i="85" s="1"/>
  <c r="AK128" i="85"/>
  <c r="AD35" i="85"/>
  <c r="AD52" i="85"/>
  <c r="AD58" i="85"/>
  <c r="AA81" i="85"/>
  <c r="AD103" i="85"/>
  <c r="X76" i="85"/>
  <c r="AA76" i="85"/>
  <c r="W76" i="85"/>
  <c r="Y76" i="85"/>
  <c r="AB76" i="85" s="1"/>
  <c r="Q80" i="85"/>
  <c r="Z80" i="85" s="1"/>
  <c r="R80" i="85"/>
  <c r="S80" i="85" s="1"/>
  <c r="AB82" i="85"/>
  <c r="R76" i="85"/>
  <c r="S76" i="85" s="1"/>
  <c r="Q76" i="85"/>
  <c r="Z76" i="85" s="1"/>
  <c r="C128" i="85"/>
  <c r="G128" i="85"/>
  <c r="Q81" i="85"/>
  <c r="Z81" i="85" s="1"/>
  <c r="W81" i="85"/>
  <c r="Y81" i="85" s="1"/>
  <c r="AB81" i="85"/>
  <c r="R87" i="85"/>
  <c r="S87" i="85" s="1"/>
  <c r="R89" i="85"/>
  <c r="S89" i="85" s="1"/>
  <c r="X89" i="85"/>
  <c r="AA89" i="85" s="1"/>
  <c r="R97" i="85"/>
  <c r="S97" i="85" s="1"/>
  <c r="W102" i="85"/>
  <c r="Y102" i="85"/>
  <c r="AB102" i="85" s="1"/>
  <c r="Z103" i="85"/>
  <c r="W104" i="85"/>
  <c r="Y104" i="85"/>
  <c r="AB104" i="85" s="1"/>
  <c r="X85" i="85"/>
  <c r="AA85" i="85" s="1"/>
  <c r="W88" i="85"/>
  <c r="Y88" i="85" s="1"/>
  <c r="AB88" i="85" s="1"/>
  <c r="AA92" i="85"/>
  <c r="X95" i="85"/>
  <c r="V98" i="85"/>
  <c r="W98" i="85"/>
  <c r="Y98" i="85" s="1"/>
  <c r="AB98" i="85"/>
  <c r="T90" i="85"/>
  <c r="AF128" i="85"/>
  <c r="AJ128" i="85"/>
  <c r="P101" i="85"/>
  <c r="X101" i="85"/>
  <c r="AA101" i="85"/>
  <c r="AA100" i="85" s="1"/>
  <c r="R103" i="85"/>
  <c r="Q104" i="85"/>
  <c r="Z104" i="85"/>
  <c r="AB107" i="85"/>
  <c r="AB106" i="85" s="1"/>
  <c r="W106" i="85"/>
  <c r="W84" i="85"/>
  <c r="Y84" i="85"/>
  <c r="AB84" i="85" s="1"/>
  <c r="Z89" i="85"/>
  <c r="R91" i="85"/>
  <c r="W91" i="85"/>
  <c r="W94" i="85"/>
  <c r="Y94" i="85"/>
  <c r="AB94" i="85" s="1"/>
  <c r="AB90" i="85" s="1"/>
  <c r="M110" i="85"/>
  <c r="S91" i="85"/>
  <c r="R55" i="85"/>
  <c r="S55" i="85" s="1"/>
  <c r="Q55" i="85"/>
  <c r="Z55" i="85" s="1"/>
  <c r="R46" i="85"/>
  <c r="Y7" i="85"/>
  <c r="R7" i="85"/>
  <c r="S7" i="85" s="1"/>
  <c r="Q7" i="85"/>
  <c r="Z7" i="85"/>
  <c r="P6" i="85"/>
  <c r="Z22" i="85"/>
  <c r="R101" i="85"/>
  <c r="X30" i="85"/>
  <c r="W30" i="85"/>
  <c r="Y30" i="85" s="1"/>
  <c r="AB30" i="85"/>
  <c r="R78" i="85"/>
  <c r="S78" i="85"/>
  <c r="Q78" i="85"/>
  <c r="AA30" i="85"/>
  <c r="K46" i="85"/>
  <c r="K100" i="85"/>
  <c r="M100" i="85"/>
  <c r="AB101" i="85"/>
  <c r="Z101" i="85"/>
  <c r="AA95" i="85"/>
  <c r="Z91" i="85"/>
  <c r="AA91" i="85"/>
  <c r="Z75" i="85"/>
  <c r="AB75" i="85"/>
  <c r="AA71" i="85"/>
  <c r="Z71" i="85"/>
  <c r="AA67" i="85"/>
  <c r="AB55" i="85"/>
  <c r="AA55" i="85"/>
  <c r="Z99" i="85"/>
  <c r="AA99" i="85"/>
  <c r="Z53" i="85"/>
  <c r="Z97" i="85"/>
  <c r="AA65" i="85"/>
  <c r="AB68" i="85"/>
  <c r="Z78" i="85"/>
  <c r="AA63" i="85"/>
  <c r="Z47" i="85"/>
  <c r="AB47" i="85"/>
  <c r="AA47" i="85"/>
  <c r="AA45" i="85"/>
  <c r="Z45" i="85"/>
  <c r="Z25" i="85"/>
  <c r="AB33" i="85"/>
  <c r="Z33" i="85"/>
  <c r="AA33" i="85"/>
  <c r="AA41" i="85"/>
  <c r="AB41" i="85"/>
  <c r="AB42" i="85"/>
  <c r="AB35" i="85"/>
  <c r="Z38" i="85"/>
  <c r="Z43" i="85"/>
  <c r="Z37" i="85"/>
  <c r="Z42" i="85"/>
  <c r="I128" i="85"/>
  <c r="AB93" i="85"/>
  <c r="M90" i="85"/>
  <c r="M128" i="85" s="1"/>
  <c r="AA93" i="85"/>
  <c r="J128" i="85"/>
  <c r="Z79" i="85"/>
  <c r="Z59" i="85"/>
  <c r="AA59" i="85"/>
  <c r="AB59" i="85"/>
  <c r="M46" i="85"/>
  <c r="Z28" i="85"/>
  <c r="K20" i="85"/>
  <c r="M29" i="85"/>
  <c r="Z36" i="85"/>
  <c r="Z32" i="85"/>
  <c r="AA32" i="85"/>
  <c r="AD7" i="86"/>
  <c r="R7" i="86"/>
  <c r="S7" i="86" s="1"/>
  <c r="AA22" i="86"/>
  <c r="W42" i="86"/>
  <c r="Y42" i="86"/>
  <c r="AB42" i="86" s="1"/>
  <c r="X42" i="86"/>
  <c r="AA42" i="86" s="1"/>
  <c r="AA14" i="86"/>
  <c r="M20" i="86"/>
  <c r="Z22" i="86"/>
  <c r="W28" i="86"/>
  <c r="Y28" i="86"/>
  <c r="AB28" i="86"/>
  <c r="X28" i="86"/>
  <c r="AA28" i="86" s="1"/>
  <c r="Z37" i="86"/>
  <c r="R16" i="86"/>
  <c r="S16" i="86"/>
  <c r="AD16" i="86"/>
  <c r="Q16" i="86"/>
  <c r="Z16" i="86" s="1"/>
  <c r="R30" i="86"/>
  <c r="S30" i="86" s="1"/>
  <c r="Q30" i="86"/>
  <c r="Z30" i="86" s="1"/>
  <c r="AA33" i="86"/>
  <c r="R15" i="86"/>
  <c r="S15" i="86"/>
  <c r="Q15" i="86"/>
  <c r="Z15" i="86"/>
  <c r="AD15" i="86"/>
  <c r="R18" i="86"/>
  <c r="S18" i="86" s="1"/>
  <c r="Q18" i="86"/>
  <c r="Z18" i="86" s="1"/>
  <c r="AD18" i="86"/>
  <c r="AA21" i="86"/>
  <c r="AA25" i="86"/>
  <c r="X32" i="86"/>
  <c r="AA32" i="86" s="1"/>
  <c r="W32" i="86"/>
  <c r="Y32" i="86" s="1"/>
  <c r="AB32" i="86" s="1"/>
  <c r="X36" i="86"/>
  <c r="AA36" i="86"/>
  <c r="W36" i="86"/>
  <c r="Y36" i="86"/>
  <c r="AB36" i="86" s="1"/>
  <c r="X78" i="86"/>
  <c r="AA78" i="86"/>
  <c r="W78" i="86"/>
  <c r="Y78" i="86"/>
  <c r="AB78" i="86" s="1"/>
  <c r="L128" i="86"/>
  <c r="K6" i="86"/>
  <c r="O6" i="86"/>
  <c r="M7" i="86"/>
  <c r="Q13" i="86"/>
  <c r="Z13" i="86" s="1"/>
  <c r="W13" i="86"/>
  <c r="Y13" i="86" s="1"/>
  <c r="AB13" i="86" s="1"/>
  <c r="AD14" i="86"/>
  <c r="AD17" i="86"/>
  <c r="E128" i="86"/>
  <c r="I128" i="86"/>
  <c r="AC128" i="86"/>
  <c r="AG128" i="86"/>
  <c r="AK128" i="86"/>
  <c r="Q21" i="86"/>
  <c r="Z21" i="86" s="1"/>
  <c r="W21" i="86"/>
  <c r="Y21" i="86" s="1"/>
  <c r="Q29" i="86"/>
  <c r="Z29" i="86" s="1"/>
  <c r="Q33" i="86"/>
  <c r="Z33" i="86" s="1"/>
  <c r="W33" i="86"/>
  <c r="Y33" i="86" s="1"/>
  <c r="AB33" i="86" s="1"/>
  <c r="AD35" i="86"/>
  <c r="Q36" i="86"/>
  <c r="Z36" i="86" s="1"/>
  <c r="W39" i="86"/>
  <c r="Y39" i="86" s="1"/>
  <c r="AB39" i="86" s="1"/>
  <c r="Q43" i="86"/>
  <c r="Z43" i="86" s="1"/>
  <c r="W45" i="86"/>
  <c r="Y45" i="86" s="1"/>
  <c r="AB45" i="86" s="1"/>
  <c r="W47" i="86"/>
  <c r="Y47" i="86"/>
  <c r="AB47" i="86" s="1"/>
  <c r="P48" i="86"/>
  <c r="Q48" i="86" s="1"/>
  <c r="X48" i="86"/>
  <c r="AA48" i="86" s="1"/>
  <c r="W53" i="86"/>
  <c r="Y53" i="86" s="1"/>
  <c r="AB53" i="86" s="1"/>
  <c r="Q59" i="86"/>
  <c r="Z59" i="86" s="1"/>
  <c r="R59" i="86"/>
  <c r="S59" i="86" s="1"/>
  <c r="R77" i="86"/>
  <c r="S77" i="86" s="1"/>
  <c r="Q77" i="86"/>
  <c r="Z77" i="86" s="1"/>
  <c r="X80" i="86"/>
  <c r="W80" i="86"/>
  <c r="Y80" i="86" s="1"/>
  <c r="AB80" i="86" s="1"/>
  <c r="X81" i="86"/>
  <c r="AA81" i="86" s="1"/>
  <c r="W81" i="86"/>
  <c r="Y81" i="86" s="1"/>
  <c r="AB81" i="86" s="1"/>
  <c r="Q83" i="86"/>
  <c r="Z83" i="86"/>
  <c r="R83" i="86"/>
  <c r="S83" i="86"/>
  <c r="X54" i="86"/>
  <c r="AA54" i="86"/>
  <c r="W54" i="86"/>
  <c r="Y54" i="86"/>
  <c r="AB54" i="86" s="1"/>
  <c r="AD8" i="86"/>
  <c r="AD6" i="86" s="1"/>
  <c r="AD11" i="86"/>
  <c r="R13" i="86"/>
  <c r="S13" i="86" s="1"/>
  <c r="R21" i="86"/>
  <c r="R54" i="86"/>
  <c r="S54" i="86"/>
  <c r="Q54" i="86"/>
  <c r="Z54" i="86"/>
  <c r="AD54" i="86"/>
  <c r="R55" i="86"/>
  <c r="S55" i="86" s="1"/>
  <c r="Q55" i="86"/>
  <c r="Z55" i="86" s="1"/>
  <c r="X58" i="86"/>
  <c r="AA58" i="86" s="1"/>
  <c r="W58" i="86"/>
  <c r="Y58" i="86" s="1"/>
  <c r="AB58" i="86" s="1"/>
  <c r="AB75" i="86"/>
  <c r="X61" i="86"/>
  <c r="AA61" i="86" s="1"/>
  <c r="W61" i="86"/>
  <c r="Y61" i="86" s="1"/>
  <c r="AB61" i="86"/>
  <c r="K20" i="86"/>
  <c r="W44" i="86"/>
  <c r="Y44" i="86" s="1"/>
  <c r="AB44" i="86"/>
  <c r="R47" i="86"/>
  <c r="S47" i="86"/>
  <c r="Q53" i="86"/>
  <c r="Z53" i="86"/>
  <c r="X55" i="86"/>
  <c r="AA55" i="86"/>
  <c r="W55" i="86"/>
  <c r="Y55" i="86"/>
  <c r="AB55" i="86" s="1"/>
  <c r="AA59" i="86"/>
  <c r="Q87" i="86"/>
  <c r="Z87" i="86" s="1"/>
  <c r="R87" i="86"/>
  <c r="S87" i="86" s="1"/>
  <c r="X102" i="86"/>
  <c r="AA102" i="86" s="1"/>
  <c r="W102" i="86"/>
  <c r="Y102" i="86" s="1"/>
  <c r="AB102" i="86" s="1"/>
  <c r="V100" i="86"/>
  <c r="X68" i="86"/>
  <c r="AA68" i="86"/>
  <c r="W68" i="86"/>
  <c r="Y68" i="86"/>
  <c r="AB68" i="86" s="1"/>
  <c r="X72" i="86"/>
  <c r="AA72" i="86" s="1"/>
  <c r="W72" i="86"/>
  <c r="Y72" i="86" s="1"/>
  <c r="AB72" i="86" s="1"/>
  <c r="Z74" i="86"/>
  <c r="R76" i="86"/>
  <c r="S76" i="86" s="1"/>
  <c r="Q76" i="86"/>
  <c r="S91" i="86"/>
  <c r="AB91" i="86"/>
  <c r="Y92" i="86"/>
  <c r="AB92" i="86" s="1"/>
  <c r="X97" i="86"/>
  <c r="AA97" i="86" s="1"/>
  <c r="W97" i="86"/>
  <c r="Y97" i="86" s="1"/>
  <c r="AB97" i="86" s="1"/>
  <c r="D128" i="86"/>
  <c r="H128" i="86"/>
  <c r="K108" i="86"/>
  <c r="M108" i="86"/>
  <c r="Z108" i="86" s="1"/>
  <c r="M110" i="86"/>
  <c r="Z69" i="86"/>
  <c r="AB71" i="86"/>
  <c r="R78" i="86"/>
  <c r="S78" i="86"/>
  <c r="Q78" i="86"/>
  <c r="Z78" i="86" s="1"/>
  <c r="P94" i="86"/>
  <c r="N90" i="86"/>
  <c r="N128" i="86" s="1"/>
  <c r="AH128" i="86"/>
  <c r="AL128" i="86"/>
  <c r="AA110" i="86"/>
  <c r="R58" i="86"/>
  <c r="S58" i="86" s="1"/>
  <c r="R68" i="86"/>
  <c r="S68" i="86" s="1"/>
  <c r="Q68" i="86"/>
  <c r="Z68" i="86"/>
  <c r="R72" i="86"/>
  <c r="S72" i="86" s="1"/>
  <c r="Q72" i="86"/>
  <c r="Z72" i="86"/>
  <c r="X76" i="86"/>
  <c r="W76" i="86"/>
  <c r="Y76" i="86"/>
  <c r="Q80" i="86"/>
  <c r="R85" i="86"/>
  <c r="S85" i="86"/>
  <c r="R89" i="86"/>
  <c r="S89" i="86" s="1"/>
  <c r="M95" i="86"/>
  <c r="M90" i="86"/>
  <c r="K90" i="86"/>
  <c r="AA95" i="86"/>
  <c r="AA92" i="86"/>
  <c r="Z95" i="86"/>
  <c r="AE128" i="86"/>
  <c r="AI128" i="86"/>
  <c r="AM128" i="86"/>
  <c r="Z101" i="86"/>
  <c r="S101" i="86"/>
  <c r="AA101" i="86"/>
  <c r="M103" i="86"/>
  <c r="K100" i="86"/>
  <c r="AA119" i="86"/>
  <c r="X85" i="86"/>
  <c r="AA85" i="86" s="1"/>
  <c r="X87" i="86"/>
  <c r="AA87" i="86" s="1"/>
  <c r="W89" i="86"/>
  <c r="Y89" i="86" s="1"/>
  <c r="AB89" i="86" s="1"/>
  <c r="AA91" i="86"/>
  <c r="Z92" i="86"/>
  <c r="R97" i="86"/>
  <c r="S97" i="86" s="1"/>
  <c r="Q97" i="86"/>
  <c r="Z97" i="86"/>
  <c r="F128" i="86"/>
  <c r="J128" i="86"/>
  <c r="AF128" i="86"/>
  <c r="AJ128" i="86"/>
  <c r="AN128" i="86"/>
  <c r="R102" i="86"/>
  <c r="S103" i="86"/>
  <c r="AD103" i="86"/>
  <c r="R103" i="86"/>
  <c r="Z104" i="86"/>
  <c r="X107" i="86"/>
  <c r="X106" i="86"/>
  <c r="V106" i="86"/>
  <c r="W107" i="86"/>
  <c r="W106" i="86" s="1"/>
  <c r="AA115" i="86"/>
  <c r="V90" i="86"/>
  <c r="P90" i="86"/>
  <c r="AA107" i="86"/>
  <c r="AA106" i="86" s="1"/>
  <c r="M100" i="86"/>
  <c r="R94" i="86"/>
  <c r="S94" i="86" s="1"/>
  <c r="Q94" i="86"/>
  <c r="Z94" i="86" s="1"/>
  <c r="Z103" i="86"/>
  <c r="AA108" i="86"/>
  <c r="Y107" i="86"/>
  <c r="AB107" i="86" s="1"/>
  <c r="X100" i="86"/>
  <c r="W100" i="86"/>
  <c r="Y100" i="86" s="1"/>
  <c r="AB106" i="86"/>
  <c r="Y106" i="86"/>
  <c r="AB100" i="86"/>
  <c r="O57" i="81"/>
  <c r="AB58" i="80"/>
  <c r="AB33" i="80"/>
  <c r="O32" i="81"/>
  <c r="Y107" i="80"/>
  <c r="AB108" i="80"/>
  <c r="AB107" i="80" s="1"/>
  <c r="O106" i="81"/>
  <c r="O105" i="81"/>
  <c r="AB31" i="80"/>
  <c r="O30" i="81"/>
  <c r="AB82" i="80"/>
  <c r="O80" i="81"/>
  <c r="N70" i="81"/>
  <c r="N71" i="81"/>
  <c r="AA23" i="80"/>
  <c r="Z23" i="80"/>
  <c r="AB32" i="80"/>
  <c r="O31" i="81"/>
  <c r="Z48" i="86"/>
  <c r="N27" i="81"/>
  <c r="O92" i="81"/>
  <c r="AB95" i="80"/>
  <c r="AA96" i="80"/>
  <c r="AB96" i="80"/>
  <c r="Z52" i="80"/>
  <c r="O11" i="81"/>
  <c r="AB12" i="80"/>
  <c r="W16" i="80"/>
  <c r="Y16" i="80" s="1"/>
  <c r="O15" i="81" s="1"/>
  <c r="Q42" i="80"/>
  <c r="Z42" i="80" s="1"/>
  <c r="AD42" i="80"/>
  <c r="Q47" i="80"/>
  <c r="R47" i="80"/>
  <c r="S47" i="80" s="1"/>
  <c r="W69" i="80"/>
  <c r="Y69" i="80" s="1"/>
  <c r="AB69" i="80" s="1"/>
  <c r="X69" i="80"/>
  <c r="AA69" i="80" s="1"/>
  <c r="W107" i="81"/>
  <c r="AA14" i="85"/>
  <c r="AD15" i="85"/>
  <c r="R15" i="85"/>
  <c r="S15" i="85" s="1"/>
  <c r="W25" i="85"/>
  <c r="Y25" i="85" s="1"/>
  <c r="AB25" i="85" s="1"/>
  <c r="X25" i="85"/>
  <c r="AA25" i="85" s="1"/>
  <c r="R41" i="85"/>
  <c r="S41" i="85"/>
  <c r="Q41" i="85"/>
  <c r="Z41" i="85" s="1"/>
  <c r="W60" i="85"/>
  <c r="Y60" i="85"/>
  <c r="AB60" i="85" s="1"/>
  <c r="X60" i="85"/>
  <c r="AA60" i="85" s="1"/>
  <c r="R95" i="85"/>
  <c r="S95" i="85" s="1"/>
  <c r="Q95" i="85"/>
  <c r="Z95" i="85" s="1"/>
  <c r="V29" i="86"/>
  <c r="T20" i="86"/>
  <c r="AA40" i="86"/>
  <c r="W69" i="86"/>
  <c r="Y69" i="86" s="1"/>
  <c r="AB69" i="86" s="1"/>
  <c r="X69" i="86"/>
  <c r="AA69" i="86"/>
  <c r="V29" i="85"/>
  <c r="X29" i="85" s="1"/>
  <c r="T20" i="85"/>
  <c r="W52" i="85"/>
  <c r="Y52" i="85"/>
  <c r="AB52" i="85" s="1"/>
  <c r="X52" i="85"/>
  <c r="AA52" i="85" s="1"/>
  <c r="AH128" i="85"/>
  <c r="R28" i="86"/>
  <c r="S28" i="86" s="1"/>
  <c r="V30" i="86"/>
  <c r="AB84" i="86"/>
  <c r="R48" i="86"/>
  <c r="S48" i="86" s="1"/>
  <c r="O20" i="86"/>
  <c r="O128" i="86"/>
  <c r="K46" i="86"/>
  <c r="Y91" i="85"/>
  <c r="W83" i="85"/>
  <c r="Y83" i="85" s="1"/>
  <c r="AB83" i="85" s="1"/>
  <c r="Z82" i="85"/>
  <c r="AA82" i="85"/>
  <c r="R30" i="85"/>
  <c r="S30" i="85" s="1"/>
  <c r="K91" i="80"/>
  <c r="O65" i="81"/>
  <c r="AB50" i="80"/>
  <c r="K74" i="80"/>
  <c r="O34" i="81"/>
  <c r="W30" i="80"/>
  <c r="Y30" i="80" s="1"/>
  <c r="O29" i="81" s="1"/>
  <c r="O87" i="81"/>
  <c r="P48" i="80"/>
  <c r="Z99" i="80"/>
  <c r="AA52" i="80"/>
  <c r="O38" i="81"/>
  <c r="AB39" i="80"/>
  <c r="AB54" i="80"/>
  <c r="R11" i="80"/>
  <c r="S11" i="80" s="1"/>
  <c r="N10" i="81" s="1"/>
  <c r="R60" i="80"/>
  <c r="S60" i="80" s="1"/>
  <c r="O64" i="81"/>
  <c r="O81" i="81"/>
  <c r="W68" i="80"/>
  <c r="Y68" i="80" s="1"/>
  <c r="AB68" i="80" s="1"/>
  <c r="AB40" i="80"/>
  <c r="R8" i="80"/>
  <c r="S8" i="80" s="1"/>
  <c r="N7" i="81" s="1"/>
  <c r="R40" i="80"/>
  <c r="S40" i="80" s="1"/>
  <c r="N39" i="81" s="1"/>
  <c r="O40" i="81"/>
  <c r="AB41" i="80"/>
  <c r="AA22" i="80"/>
  <c r="Z106" i="80"/>
  <c r="Q8" i="80"/>
  <c r="Q14" i="80"/>
  <c r="Z14" i="80" s="1"/>
  <c r="R14" i="80"/>
  <c r="S14" i="80"/>
  <c r="N13" i="81" s="1"/>
  <c r="X53" i="80"/>
  <c r="AA53" i="80" s="1"/>
  <c r="W53" i="80"/>
  <c r="Y53" i="80" s="1"/>
  <c r="O52" i="81" s="1"/>
  <c r="AB56" i="80"/>
  <c r="V62" i="80"/>
  <c r="W62" i="80" s="1"/>
  <c r="T46" i="80"/>
  <c r="V46" i="80" s="1"/>
  <c r="X46" i="80" s="1"/>
  <c r="C129" i="80"/>
  <c r="AA83" i="80"/>
  <c r="AD106" i="80"/>
  <c r="N104" i="81"/>
  <c r="L7" i="82"/>
  <c r="J129" i="80"/>
  <c r="AJ129" i="80"/>
  <c r="AF129" i="80"/>
  <c r="N90" i="81"/>
  <c r="O97" i="81"/>
  <c r="M53" i="81"/>
  <c r="O6" i="85"/>
  <c r="R11" i="85"/>
  <c r="S11" i="85" s="1"/>
  <c r="AD11" i="85"/>
  <c r="Q13" i="85"/>
  <c r="Z13" i="85"/>
  <c r="V15" i="85"/>
  <c r="V6" i="85" s="1"/>
  <c r="U6" i="85"/>
  <c r="U128" i="85" s="1"/>
  <c r="W22" i="85"/>
  <c r="X22" i="85"/>
  <c r="W44" i="85"/>
  <c r="Y44" i="85"/>
  <c r="AB44" i="85" s="1"/>
  <c r="X44" i="85"/>
  <c r="AA44" i="85" s="1"/>
  <c r="Q56" i="85"/>
  <c r="Z56" i="85" s="1"/>
  <c r="R56" i="85"/>
  <c r="S56" i="85" s="1"/>
  <c r="R26" i="86"/>
  <c r="S26" i="86" s="1"/>
  <c r="AD26" i="86"/>
  <c r="AD20" i="86" s="1"/>
  <c r="Q26" i="86"/>
  <c r="Z26" i="86" s="1"/>
  <c r="W50" i="86"/>
  <c r="Y50" i="86" s="1"/>
  <c r="AB50" i="86" s="1"/>
  <c r="X50" i="86"/>
  <c r="AA50" i="86" s="1"/>
  <c r="O51" i="81"/>
  <c r="AB52" i="80"/>
  <c r="AB44" i="80"/>
  <c r="O43" i="81"/>
  <c r="R16" i="80"/>
  <c r="S16" i="80" s="1"/>
  <c r="N15" i="81" s="1"/>
  <c r="AD16" i="80"/>
  <c r="N92" i="81"/>
  <c r="Z95" i="80"/>
  <c r="H129" i="80"/>
  <c r="Q18" i="80"/>
  <c r="Z18" i="80" s="1"/>
  <c r="AD18" i="80"/>
  <c r="V8" i="80"/>
  <c r="T6" i="80"/>
  <c r="T129" i="80" s="1"/>
  <c r="W9" i="85"/>
  <c r="Y9" i="85" s="1"/>
  <c r="AB9" i="85" s="1"/>
  <c r="X9" i="85"/>
  <c r="AA9" i="85" s="1"/>
  <c r="X78" i="85"/>
  <c r="AA78" i="85" s="1"/>
  <c r="W78" i="85"/>
  <c r="Y78" i="85" s="1"/>
  <c r="AB78" i="85" s="1"/>
  <c r="W97" i="85"/>
  <c r="Y97" i="85" s="1"/>
  <c r="AB97" i="85" s="1"/>
  <c r="R17" i="86"/>
  <c r="S17" i="86" s="1"/>
  <c r="Q17" i="86"/>
  <c r="Z17" i="86" s="1"/>
  <c r="M6" i="86"/>
  <c r="R39" i="86"/>
  <c r="S39" i="86" s="1"/>
  <c r="X98" i="85"/>
  <c r="AA98" i="85" s="1"/>
  <c r="Q84" i="85"/>
  <c r="Z84" i="85" s="1"/>
  <c r="P73" i="85"/>
  <c r="R73" i="85" s="1"/>
  <c r="V20" i="85"/>
  <c r="AB36" i="80"/>
  <c r="O70" i="81"/>
  <c r="W48" i="80"/>
  <c r="Y48" i="80" s="1"/>
  <c r="AB48" i="80" s="1"/>
  <c r="AB37" i="80"/>
  <c r="AB106" i="80"/>
  <c r="X87" i="80"/>
  <c r="Q16" i="80"/>
  <c r="Z16" i="80" s="1"/>
  <c r="Z44" i="80"/>
  <c r="AB43" i="80"/>
  <c r="O42" i="81"/>
  <c r="X37" i="80"/>
  <c r="AA37" i="80"/>
  <c r="Z57" i="80"/>
  <c r="Q59" i="80"/>
  <c r="Z59" i="80" s="1"/>
  <c r="Z97" i="80"/>
  <c r="P7" i="80"/>
  <c r="O6" i="80"/>
  <c r="Q13" i="80"/>
  <c r="Z13" i="80" s="1"/>
  <c r="AD13" i="80"/>
  <c r="W42" i="80"/>
  <c r="Y42" i="80" s="1"/>
  <c r="O41" i="81" s="1"/>
  <c r="X42" i="80"/>
  <c r="AA42" i="80" s="1"/>
  <c r="W47" i="80"/>
  <c r="Y47" i="80" s="1"/>
  <c r="X47" i="80"/>
  <c r="AA47" i="80" s="1"/>
  <c r="O59" i="81"/>
  <c r="AB61" i="80"/>
  <c r="Q80" i="80"/>
  <c r="Z80" i="80" s="1"/>
  <c r="R80" i="80"/>
  <c r="S80" i="80" s="1"/>
  <c r="N78" i="81" s="1"/>
  <c r="Z81" i="80"/>
  <c r="L6" i="82"/>
  <c r="L26" i="82" s="1"/>
  <c r="AK129" i="80"/>
  <c r="N97" i="81"/>
  <c r="M99" i="81"/>
  <c r="M22" i="81"/>
  <c r="K19" i="81"/>
  <c r="L6" i="85"/>
  <c r="L128" i="85"/>
  <c r="M7" i="85"/>
  <c r="M6" i="85" s="1"/>
  <c r="Q15" i="85"/>
  <c r="Z15" i="85" s="1"/>
  <c r="X74" i="85"/>
  <c r="AA74" i="85" s="1"/>
  <c r="W74" i="85"/>
  <c r="Y74" i="85" s="1"/>
  <c r="AB74" i="85" s="1"/>
  <c r="X77" i="85"/>
  <c r="AA77" i="85" s="1"/>
  <c r="W77" i="85"/>
  <c r="Y77" i="85" s="1"/>
  <c r="AB77" i="85" s="1"/>
  <c r="N90" i="85"/>
  <c r="P94" i="85"/>
  <c r="Z84" i="86"/>
  <c r="P100" i="86"/>
  <c r="R100" i="86" s="1"/>
  <c r="P20" i="86"/>
  <c r="Z87" i="85"/>
  <c r="K6" i="85"/>
  <c r="W32" i="85"/>
  <c r="Y32" i="85" s="1"/>
  <c r="AB32" i="85" s="1"/>
  <c r="O61" i="81"/>
  <c r="K20" i="80"/>
  <c r="N102" i="81"/>
  <c r="AA36" i="80"/>
  <c r="R17" i="80"/>
  <c r="S17" i="80"/>
  <c r="N16" i="81" s="1"/>
  <c r="R15" i="80"/>
  <c r="S15" i="80" s="1"/>
  <c r="N14" i="81" s="1"/>
  <c r="O71" i="81"/>
  <c r="AB38" i="80"/>
  <c r="R99" i="80"/>
  <c r="S99" i="80"/>
  <c r="AA35" i="80"/>
  <c r="O82" i="81"/>
  <c r="N103" i="81"/>
  <c r="AD105" i="80"/>
  <c r="Q36" i="80"/>
  <c r="W49" i="80"/>
  <c r="Y49" i="80" s="1"/>
  <c r="O48" i="81" s="1"/>
  <c r="W104" i="80"/>
  <c r="Y104" i="80" s="1"/>
  <c r="O69" i="81"/>
  <c r="AA57" i="80"/>
  <c r="J7" i="82"/>
  <c r="J26" i="82" s="1"/>
  <c r="AA26" i="80"/>
  <c r="AA7" i="80"/>
  <c r="AA81" i="80"/>
  <c r="Z93" i="80"/>
  <c r="AD12" i="80"/>
  <c r="Q12" i="80"/>
  <c r="Z12" i="80" s="1"/>
  <c r="X13" i="80"/>
  <c r="AA13" i="80" s="1"/>
  <c r="W13" i="80"/>
  <c r="Y13" i="80" s="1"/>
  <c r="AB13" i="80" s="1"/>
  <c r="T20" i="80"/>
  <c r="M51" i="80"/>
  <c r="K46" i="80"/>
  <c r="AA60" i="80"/>
  <c r="AB60" i="80"/>
  <c r="AA82" i="80"/>
  <c r="N91" i="81"/>
  <c r="Z94" i="80"/>
  <c r="O101" i="80"/>
  <c r="M45" i="81"/>
  <c r="M19" i="81"/>
  <c r="T6" i="85"/>
  <c r="V8" i="85"/>
  <c r="AD12" i="85"/>
  <c r="R35" i="85"/>
  <c r="S35" i="85" s="1"/>
  <c r="Q35" i="85"/>
  <c r="AE128" i="85"/>
  <c r="R50" i="85"/>
  <c r="S50" i="85"/>
  <c r="Q50" i="85"/>
  <c r="X72" i="85"/>
  <c r="AA72" i="85"/>
  <c r="W72" i="85"/>
  <c r="Y72" i="85" s="1"/>
  <c r="AB72" i="85" s="1"/>
  <c r="AB85" i="85"/>
  <c r="V100" i="85"/>
  <c r="AG128" i="85"/>
  <c r="M46" i="86"/>
  <c r="AA47" i="86"/>
  <c r="Z96" i="80"/>
  <c r="AB99" i="80"/>
  <c r="I129" i="80"/>
  <c r="AA116" i="80"/>
  <c r="M73" i="81"/>
  <c r="M72" i="81" s="1"/>
  <c r="K72" i="81"/>
  <c r="Z16" i="85"/>
  <c r="Q102" i="85"/>
  <c r="P102" i="85"/>
  <c r="R102" i="85" s="1"/>
  <c r="AA113" i="85"/>
  <c r="W23" i="86"/>
  <c r="Y23" i="86"/>
  <c r="AB23" i="86" s="1"/>
  <c r="X23" i="86"/>
  <c r="AA23" i="86" s="1"/>
  <c r="Z41" i="86"/>
  <c r="AB41" i="86"/>
  <c r="Q58" i="86"/>
  <c r="Z58" i="86" s="1"/>
  <c r="AD58" i="86"/>
  <c r="AB102" i="80"/>
  <c r="M7" i="81"/>
  <c r="M5" i="81" s="1"/>
  <c r="K5" i="81"/>
  <c r="AD9" i="85"/>
  <c r="Q9" i="85"/>
  <c r="Z9" i="85"/>
  <c r="Z14" i="85"/>
  <c r="V16" i="85"/>
  <c r="R39" i="85"/>
  <c r="S39" i="85" s="1"/>
  <c r="Q39" i="85"/>
  <c r="Z39" i="85" s="1"/>
  <c r="Q58" i="85"/>
  <c r="Z58" i="85" s="1"/>
  <c r="Q60" i="85"/>
  <c r="Z60" i="85" s="1"/>
  <c r="R60" i="85"/>
  <c r="S60" i="85" s="1"/>
  <c r="R96" i="85"/>
  <c r="S96" i="85"/>
  <c r="Q96" i="85"/>
  <c r="Z96" i="85" s="1"/>
  <c r="Z9" i="86"/>
  <c r="R32" i="86"/>
  <c r="S32" i="86" s="1"/>
  <c r="Q32" i="86"/>
  <c r="Z32" i="86" s="1"/>
  <c r="AB48" i="86"/>
  <c r="R49" i="86"/>
  <c r="S49" i="86" s="1"/>
  <c r="Q49" i="86"/>
  <c r="Z49" i="86"/>
  <c r="R24" i="85"/>
  <c r="S24" i="85" s="1"/>
  <c r="R29" i="85"/>
  <c r="S29" i="85" s="1"/>
  <c r="Q29" i="85"/>
  <c r="AB54" i="85"/>
  <c r="R63" i="85"/>
  <c r="S63" i="85" s="1"/>
  <c r="X69" i="85"/>
  <c r="AA69" i="85"/>
  <c r="W69" i="85"/>
  <c r="Y69" i="85" s="1"/>
  <c r="AB69" i="85" s="1"/>
  <c r="K73" i="85"/>
  <c r="K128" i="85" s="1"/>
  <c r="X75" i="85"/>
  <c r="AA75" i="85" s="1"/>
  <c r="Z88" i="85"/>
  <c r="K90" i="85"/>
  <c r="P106" i="85"/>
  <c r="K108" i="85"/>
  <c r="M108" i="85"/>
  <c r="AA108" i="85" s="1"/>
  <c r="V8" i="86"/>
  <c r="X8" i="86" s="1"/>
  <c r="X17" i="86"/>
  <c r="AA17" i="86" s="1"/>
  <c r="Q25" i="86"/>
  <c r="R25" i="86"/>
  <c r="W35" i="86"/>
  <c r="Y35" i="86" s="1"/>
  <c r="AB35" i="86"/>
  <c r="X35" i="86"/>
  <c r="AA35" i="86" s="1"/>
  <c r="Z40" i="86"/>
  <c r="R42" i="86"/>
  <c r="S42" i="86" s="1"/>
  <c r="Q42" i="86"/>
  <c r="Z42" i="86" s="1"/>
  <c r="X60" i="86"/>
  <c r="AA60" i="86" s="1"/>
  <c r="W60" i="86"/>
  <c r="Y60" i="86" s="1"/>
  <c r="AB60" i="86"/>
  <c r="R67" i="86"/>
  <c r="S67" i="86" s="1"/>
  <c r="Q67" i="86"/>
  <c r="Z67" i="86" s="1"/>
  <c r="X39" i="85"/>
  <c r="AA39" i="85" s="1"/>
  <c r="W39" i="85"/>
  <c r="Y39" i="85" s="1"/>
  <c r="AB39" i="85" s="1"/>
  <c r="X48" i="85"/>
  <c r="AA48" i="85"/>
  <c r="W48" i="85"/>
  <c r="Y48" i="85" s="1"/>
  <c r="AB48" i="85" s="1"/>
  <c r="R52" i="85"/>
  <c r="S52" i="85" s="1"/>
  <c r="Q52" i="85"/>
  <c r="Z52" i="85" s="1"/>
  <c r="V56" i="85"/>
  <c r="T46" i="85"/>
  <c r="V46" i="85" s="1"/>
  <c r="Z66" i="85"/>
  <c r="V79" i="85"/>
  <c r="T73" i="85"/>
  <c r="V73" i="85" s="1"/>
  <c r="W73" i="85" s="1"/>
  <c r="Y73" i="85" s="1"/>
  <c r="AB73" i="85" s="1"/>
  <c r="Q83" i="85"/>
  <c r="Z83" i="85" s="1"/>
  <c r="R83" i="85"/>
  <c r="S83" i="85" s="1"/>
  <c r="X96" i="85"/>
  <c r="AA96" i="85"/>
  <c r="W96" i="85"/>
  <c r="Y96" i="85" s="1"/>
  <c r="AB96" i="85"/>
  <c r="W7" i="86"/>
  <c r="Y7" i="86" s="1"/>
  <c r="AB7" i="86" s="1"/>
  <c r="Q12" i="86"/>
  <c r="AD12" i="86"/>
  <c r="AB26" i="86"/>
  <c r="Q31" i="86"/>
  <c r="Z31" i="86" s="1"/>
  <c r="R31" i="86"/>
  <c r="S31" i="86" s="1"/>
  <c r="AA43" i="86"/>
  <c r="R45" i="86"/>
  <c r="S45" i="86" s="1"/>
  <c r="Q45" i="86"/>
  <c r="Z45" i="86" s="1"/>
  <c r="X52" i="86"/>
  <c r="AA52" i="86" s="1"/>
  <c r="W52" i="86"/>
  <c r="Y52" i="86" s="1"/>
  <c r="AB52" i="86"/>
  <c r="R96" i="86"/>
  <c r="S96" i="86" s="1"/>
  <c r="Q96" i="86"/>
  <c r="X107" i="85"/>
  <c r="X106" i="85" s="1"/>
  <c r="AB43" i="86"/>
  <c r="AA44" i="86"/>
  <c r="Z50" i="86"/>
  <c r="W62" i="86"/>
  <c r="Y62" i="86" s="1"/>
  <c r="AB62" i="86" s="1"/>
  <c r="X62" i="86"/>
  <c r="AA62" i="86" s="1"/>
  <c r="W63" i="86"/>
  <c r="Y63" i="86" s="1"/>
  <c r="AB63" i="86"/>
  <c r="X63" i="86"/>
  <c r="AA63" i="86" s="1"/>
  <c r="Q82" i="86"/>
  <c r="Z82" i="86" s="1"/>
  <c r="R82" i="86"/>
  <c r="S82" i="86" s="1"/>
  <c r="G128" i="86"/>
  <c r="Q51" i="86"/>
  <c r="Z51" i="86" s="1"/>
  <c r="AA53" i="86"/>
  <c r="Q60" i="86"/>
  <c r="Z60" i="86" s="1"/>
  <c r="R60" i="86"/>
  <c r="S60" i="86"/>
  <c r="M80" i="86"/>
  <c r="Z80" i="86" s="1"/>
  <c r="R105" i="86"/>
  <c r="S105" i="86" s="1"/>
  <c r="AD105" i="86" s="1"/>
  <c r="Q105" i="86"/>
  <c r="W38" i="86"/>
  <c r="Y38" i="86" s="1"/>
  <c r="AB38" i="86"/>
  <c r="X41" i="86"/>
  <c r="AA41" i="86" s="1"/>
  <c r="V56" i="86"/>
  <c r="W65" i="86"/>
  <c r="Y65" i="86" s="1"/>
  <c r="AB65" i="86" s="1"/>
  <c r="W96" i="86"/>
  <c r="Y96" i="86"/>
  <c r="AB96" i="86" s="1"/>
  <c r="X96" i="86"/>
  <c r="X103" i="86"/>
  <c r="AA103" i="86" s="1"/>
  <c r="W103" i="86"/>
  <c r="Y103" i="86"/>
  <c r="AB103" i="86" s="1"/>
  <c r="Z47" i="86"/>
  <c r="AA113" i="86"/>
  <c r="AB53" i="80"/>
  <c r="AA29" i="85"/>
  <c r="W29" i="85"/>
  <c r="Y29" i="85" s="1"/>
  <c r="AB29" i="85" s="1"/>
  <c r="Z47" i="80"/>
  <c r="W90" i="85"/>
  <c r="AA80" i="86"/>
  <c r="Q100" i="86"/>
  <c r="Z105" i="86"/>
  <c r="X56" i="86"/>
  <c r="AA56" i="86" s="1"/>
  <c r="W56" i="86"/>
  <c r="Y56" i="86"/>
  <c r="AB56" i="86" s="1"/>
  <c r="AA107" i="85"/>
  <c r="AA106" i="85" s="1"/>
  <c r="AA8" i="86"/>
  <c r="W8" i="86"/>
  <c r="Y8" i="86" s="1"/>
  <c r="AB8" i="86" s="1"/>
  <c r="Z29" i="85"/>
  <c r="P100" i="85"/>
  <c r="P128" i="85" s="1"/>
  <c r="Z36" i="80"/>
  <c r="AA96" i="86"/>
  <c r="Z12" i="86"/>
  <c r="S25" i="86"/>
  <c r="Z108" i="85"/>
  <c r="W16" i="85"/>
  <c r="Y16" i="85" s="1"/>
  <c r="AB16" i="85"/>
  <c r="X16" i="85"/>
  <c r="AA16" i="85" s="1"/>
  <c r="S102" i="85"/>
  <c r="AD102" i="85" s="1"/>
  <c r="X100" i="85"/>
  <c r="W100" i="85"/>
  <c r="Y100" i="85" s="1"/>
  <c r="X8" i="85"/>
  <c r="W8" i="85"/>
  <c r="AB49" i="80"/>
  <c r="AB42" i="80"/>
  <c r="Q7" i="80"/>
  <c r="P6" i="80"/>
  <c r="R7" i="80"/>
  <c r="R6" i="80" s="1"/>
  <c r="AD7" i="80"/>
  <c r="AD6" i="80" s="1"/>
  <c r="AA22" i="85"/>
  <c r="X15" i="85"/>
  <c r="AA15" i="85" s="1"/>
  <c r="W15" i="85"/>
  <c r="Y15" i="85" s="1"/>
  <c r="AB15" i="85" s="1"/>
  <c r="W46" i="80"/>
  <c r="Y46" i="80" s="1"/>
  <c r="X29" i="86"/>
  <c r="AA29" i="86" s="1"/>
  <c r="AA7" i="86"/>
  <c r="Q94" i="85"/>
  <c r="R94" i="85"/>
  <c r="S94" i="85" s="1"/>
  <c r="P90" i="85"/>
  <c r="X8" i="80"/>
  <c r="W8" i="80"/>
  <c r="Z50" i="85"/>
  <c r="AA7" i="85"/>
  <c r="AB7" i="85"/>
  <c r="Y22" i="85"/>
  <c r="Y62" i="80"/>
  <c r="AB62" i="80" s="1"/>
  <c r="X62" i="80"/>
  <c r="AA62" i="80" s="1"/>
  <c r="O66" i="81"/>
  <c r="Q48" i="80"/>
  <c r="Z48" i="80"/>
  <c r="R48" i="80"/>
  <c r="S48" i="80" s="1"/>
  <c r="N47" i="81" s="1"/>
  <c r="AB91" i="85"/>
  <c r="X30" i="86"/>
  <c r="AA30" i="86" s="1"/>
  <c r="W30" i="86"/>
  <c r="Y30" i="86" s="1"/>
  <c r="AB30" i="86"/>
  <c r="O67" i="81"/>
  <c r="AB16" i="80"/>
  <c r="AB22" i="85"/>
  <c r="Z94" i="85"/>
  <c r="Y8" i="85"/>
  <c r="AB8" i="85" s="1"/>
  <c r="Y8" i="80"/>
  <c r="S7" i="80"/>
  <c r="N6" i="81" s="1"/>
  <c r="AA8" i="85"/>
  <c r="O60" i="81"/>
  <c r="Z7" i="80"/>
  <c r="R100" i="85"/>
  <c r="O7" i="81"/>
  <c r="AB100" i="85"/>
  <c r="Q13" i="88"/>
  <c r="Z13" i="88"/>
  <c r="R13" i="88"/>
  <c r="S13" i="88" s="1"/>
  <c r="AD13" i="88"/>
  <c r="X17" i="88"/>
  <c r="AA17" i="88" s="1"/>
  <c r="W17" i="88"/>
  <c r="Y17" i="88"/>
  <c r="AB17" i="88"/>
  <c r="AD11" i="88"/>
  <c r="R35" i="88"/>
  <c r="S35" i="88" s="1"/>
  <c r="Q35" i="88"/>
  <c r="Z35" i="88"/>
  <c r="P7" i="88"/>
  <c r="R9" i="88"/>
  <c r="S9" i="88"/>
  <c r="Q11" i="88"/>
  <c r="W11" i="88"/>
  <c r="Y11" i="88"/>
  <c r="R12" i="88"/>
  <c r="S12" i="88" s="1"/>
  <c r="Q14" i="88"/>
  <c r="Z14" i="88"/>
  <c r="W14" i="88"/>
  <c r="Y14" i="88" s="1"/>
  <c r="AB14" i="88" s="1"/>
  <c r="M15" i="88"/>
  <c r="R15" i="88"/>
  <c r="S15" i="88" s="1"/>
  <c r="W15" i="88"/>
  <c r="Y15" i="88"/>
  <c r="AB15" i="88" s="1"/>
  <c r="R22" i="88"/>
  <c r="P20" i="88"/>
  <c r="Q22" i="88"/>
  <c r="Z22" i="88" s="1"/>
  <c r="R25" i="88"/>
  <c r="S25" i="88"/>
  <c r="Q25" i="88"/>
  <c r="Z25" i="88" s="1"/>
  <c r="R28" i="88"/>
  <c r="S28" i="88"/>
  <c r="Q28" i="88"/>
  <c r="Z28" i="88" s="1"/>
  <c r="W29" i="88"/>
  <c r="Y29" i="88"/>
  <c r="AB29" i="88"/>
  <c r="X32" i="88"/>
  <c r="AA32" i="88" s="1"/>
  <c r="AB41" i="88"/>
  <c r="AA43" i="88"/>
  <c r="X44" i="88"/>
  <c r="AA44" i="88"/>
  <c r="W44" i="88"/>
  <c r="Y44" i="88" s="1"/>
  <c r="AB44" i="88" s="1"/>
  <c r="W45" i="88"/>
  <c r="Y45" i="88"/>
  <c r="AB45" i="88" s="1"/>
  <c r="X45" i="88"/>
  <c r="AA45" i="88"/>
  <c r="X58" i="88"/>
  <c r="AA58" i="88" s="1"/>
  <c r="W58" i="88"/>
  <c r="Y58" i="88"/>
  <c r="AB58" i="88"/>
  <c r="AD18" i="88"/>
  <c r="R18" i="88"/>
  <c r="S18" i="88"/>
  <c r="AB27" i="88"/>
  <c r="R14" i="88"/>
  <c r="S14" i="88" s="1"/>
  <c r="V16" i="88"/>
  <c r="M21" i="88"/>
  <c r="M20" i="88"/>
  <c r="K20" i="88"/>
  <c r="Q24" i="88"/>
  <c r="Z24" i="88"/>
  <c r="Q27" i="88"/>
  <c r="Z27" i="88" s="1"/>
  <c r="P30" i="88"/>
  <c r="O20" i="88"/>
  <c r="W31" i="88"/>
  <c r="Y31" i="88" s="1"/>
  <c r="AB31" i="88" s="1"/>
  <c r="AA35" i="88"/>
  <c r="X36" i="88"/>
  <c r="AA36" i="88" s="1"/>
  <c r="W36" i="88"/>
  <c r="Y36" i="88"/>
  <c r="AB36" i="88"/>
  <c r="AA38" i="88"/>
  <c r="R39" i="88"/>
  <c r="S39" i="88"/>
  <c r="Q39" i="88"/>
  <c r="Z39" i="88" s="1"/>
  <c r="AA40" i="88"/>
  <c r="Z41" i="88"/>
  <c r="AA41" i="88"/>
  <c r="X42" i="88"/>
  <c r="AA42" i="88" s="1"/>
  <c r="W42" i="88"/>
  <c r="Y42" i="88"/>
  <c r="AB42" i="88" s="1"/>
  <c r="R85" i="88"/>
  <c r="S85" i="88" s="1"/>
  <c r="Q85" i="88"/>
  <c r="Z85" i="88"/>
  <c r="Z16" i="88"/>
  <c r="X22" i="88"/>
  <c r="AA22" i="88" s="1"/>
  <c r="W22" i="88"/>
  <c r="Y22" i="88"/>
  <c r="AB22" i="88" s="1"/>
  <c r="X25" i="88"/>
  <c r="AA25" i="88" s="1"/>
  <c r="W25" i="88"/>
  <c r="Y25" i="88"/>
  <c r="AB25" i="88" s="1"/>
  <c r="T20" i="88"/>
  <c r="V28" i="88"/>
  <c r="X39" i="88"/>
  <c r="AA39" i="88" s="1"/>
  <c r="W39" i="88"/>
  <c r="Y39" i="88"/>
  <c r="AB39" i="88" s="1"/>
  <c r="X63" i="88"/>
  <c r="AA63" i="88"/>
  <c r="W63" i="88"/>
  <c r="Y63" i="88" s="1"/>
  <c r="AB63" i="88"/>
  <c r="R67" i="88"/>
  <c r="S67" i="88" s="1"/>
  <c r="Q67" i="88"/>
  <c r="X75" i="88"/>
  <c r="W75" i="88"/>
  <c r="Y75" i="88" s="1"/>
  <c r="AB75" i="88"/>
  <c r="X76" i="88"/>
  <c r="AA76" i="88" s="1"/>
  <c r="W76" i="88"/>
  <c r="Y76" i="88"/>
  <c r="AB76" i="88"/>
  <c r="Z55" i="88"/>
  <c r="R61" i="88"/>
  <c r="S61" i="88"/>
  <c r="Q61" i="88"/>
  <c r="Z61" i="88" s="1"/>
  <c r="R72" i="88"/>
  <c r="S72" i="88"/>
  <c r="Q72" i="88"/>
  <c r="Z72" i="88" s="1"/>
  <c r="M74" i="88"/>
  <c r="K73" i="88"/>
  <c r="Q32" i="88"/>
  <c r="Z32" i="88" s="1"/>
  <c r="W35" i="88"/>
  <c r="Y35" i="88"/>
  <c r="AB35" i="88"/>
  <c r="Q37" i="88"/>
  <c r="Z37" i="88" s="1"/>
  <c r="W37" i="88"/>
  <c r="Y37" i="88"/>
  <c r="AB37" i="88" s="1"/>
  <c r="Q42" i="88"/>
  <c r="Z42" i="88"/>
  <c r="Z43" i="88"/>
  <c r="R45" i="88"/>
  <c r="S45" i="88" s="1"/>
  <c r="Q45" i="88"/>
  <c r="Z45" i="88" s="1"/>
  <c r="X48" i="88"/>
  <c r="AA48" i="88"/>
  <c r="W48" i="88"/>
  <c r="Y48" i="88"/>
  <c r="AB48" i="88"/>
  <c r="Z49" i="88"/>
  <c r="AA50" i="88"/>
  <c r="AD52" i="88"/>
  <c r="R52" i="88"/>
  <c r="S52" i="88"/>
  <c r="Q52" i="88"/>
  <c r="Z52" i="88"/>
  <c r="R55" i="88"/>
  <c r="S55" i="88"/>
  <c r="AA60" i="88"/>
  <c r="R68" i="88"/>
  <c r="S68" i="88" s="1"/>
  <c r="Q68" i="88"/>
  <c r="Z68" i="88"/>
  <c r="AD42" i="88"/>
  <c r="Q44" i="88"/>
  <c r="Z44" i="88" s="1"/>
  <c r="X52" i="88"/>
  <c r="AA52" i="88"/>
  <c r="W52" i="88"/>
  <c r="Y52" i="88" s="1"/>
  <c r="AB52" i="88"/>
  <c r="X56" i="88"/>
  <c r="AA56" i="88"/>
  <c r="W56" i="88"/>
  <c r="Y56" i="88" s="1"/>
  <c r="AB56" i="88"/>
  <c r="X57" i="88"/>
  <c r="AA57" i="88" s="1"/>
  <c r="AD58" i="88"/>
  <c r="R58" i="88"/>
  <c r="S58" i="88"/>
  <c r="Q58" i="88"/>
  <c r="Z58" i="88"/>
  <c r="AB59" i="88"/>
  <c r="AB65" i="88"/>
  <c r="R71" i="88"/>
  <c r="S71" i="88"/>
  <c r="Q71" i="88"/>
  <c r="Z71" i="88"/>
  <c r="Z77" i="88"/>
  <c r="R54" i="88"/>
  <c r="S54" i="88"/>
  <c r="AD57" i="88"/>
  <c r="X78" i="88"/>
  <c r="AA78" i="88"/>
  <c r="W78" i="88"/>
  <c r="Y78" i="88"/>
  <c r="AB78" i="88" s="1"/>
  <c r="X81" i="88"/>
  <c r="AA81" i="88" s="1"/>
  <c r="W81" i="88"/>
  <c r="Y81" i="88" s="1"/>
  <c r="AB81" i="88"/>
  <c r="Z87" i="88"/>
  <c r="AA87" i="88"/>
  <c r="J128" i="88"/>
  <c r="Z60" i="88"/>
  <c r="X68" i="88"/>
  <c r="AA68" i="88"/>
  <c r="W68" i="88"/>
  <c r="Y68" i="88" s="1"/>
  <c r="AB68" i="88" s="1"/>
  <c r="Y72" i="88"/>
  <c r="AB72" i="88" s="1"/>
  <c r="Z74" i="88"/>
  <c r="R76" i="88"/>
  <c r="S76" i="88"/>
  <c r="Q76" i="88"/>
  <c r="Z76" i="88"/>
  <c r="Z79" i="88"/>
  <c r="W80" i="88"/>
  <c r="Y80" i="88" s="1"/>
  <c r="AB80" i="88" s="1"/>
  <c r="AC128" i="88"/>
  <c r="AH128" i="88"/>
  <c r="AL128" i="88"/>
  <c r="P103" i="88"/>
  <c r="P100" i="88" s="1"/>
  <c r="O100" i="88"/>
  <c r="X61" i="88"/>
  <c r="AA61" i="88"/>
  <c r="W61" i="88"/>
  <c r="Y61" i="88" s="1"/>
  <c r="AB61" i="88" s="1"/>
  <c r="Z65" i="88"/>
  <c r="AA65" i="88"/>
  <c r="Z69" i="88"/>
  <c r="AB71" i="88"/>
  <c r="R81" i="88"/>
  <c r="S81" i="88"/>
  <c r="Q81" i="88"/>
  <c r="Z81" i="88" s="1"/>
  <c r="R86" i="88"/>
  <c r="S86" i="88" s="1"/>
  <c r="Q86" i="88"/>
  <c r="Z86" i="88" s="1"/>
  <c r="Z88" i="88"/>
  <c r="Q89" i="88"/>
  <c r="Z89" i="88" s="1"/>
  <c r="R89" i="88"/>
  <c r="S89" i="88"/>
  <c r="Q92" i="88"/>
  <c r="Z92" i="88" s="1"/>
  <c r="R92" i="88"/>
  <c r="S92" i="88" s="1"/>
  <c r="Q95" i="88"/>
  <c r="Z95" i="88"/>
  <c r="R95" i="88"/>
  <c r="S95" i="88" s="1"/>
  <c r="C128" i="88"/>
  <c r="G128" i="88"/>
  <c r="U128" i="88"/>
  <c r="AE128" i="88"/>
  <c r="AI128" i="88"/>
  <c r="AM128" i="88"/>
  <c r="AA110" i="88"/>
  <c r="M112" i="88"/>
  <c r="AA112" i="88"/>
  <c r="K108" i="88"/>
  <c r="M108" i="88"/>
  <c r="AA108" i="88" s="1"/>
  <c r="X86" i="88"/>
  <c r="AA86" i="88"/>
  <c r="W86" i="88"/>
  <c r="Y86" i="88"/>
  <c r="AB86" i="88"/>
  <c r="X89" i="88"/>
  <c r="AA89" i="88" s="1"/>
  <c r="W89" i="88"/>
  <c r="Y89" i="88" s="1"/>
  <c r="AB89" i="88" s="1"/>
  <c r="W92" i="88"/>
  <c r="Y92" i="88"/>
  <c r="AB92" i="88" s="1"/>
  <c r="X92" i="88"/>
  <c r="W95" i="88"/>
  <c r="Y95" i="88"/>
  <c r="AB95" i="88" s="1"/>
  <c r="X95" i="88"/>
  <c r="AA95" i="88" s="1"/>
  <c r="V98" i="88"/>
  <c r="X98" i="88" s="1"/>
  <c r="AA98" i="88" s="1"/>
  <c r="V90" i="88"/>
  <c r="T90" i="88"/>
  <c r="D128" i="88"/>
  <c r="H128" i="88"/>
  <c r="AF128" i="88"/>
  <c r="AJ128" i="88"/>
  <c r="AN128" i="88"/>
  <c r="AA120" i="88"/>
  <c r="W99" i="88"/>
  <c r="Y99" i="88" s="1"/>
  <c r="AB99" i="88" s="1"/>
  <c r="X99" i="88"/>
  <c r="AA99" i="88"/>
  <c r="E128" i="88"/>
  <c r="I128" i="88"/>
  <c r="AG128" i="88"/>
  <c r="AK128" i="88"/>
  <c r="W101" i="88"/>
  <c r="Y101" i="88" s="1"/>
  <c r="AB101" i="88" s="1"/>
  <c r="X101" i="88"/>
  <c r="V100" i="88"/>
  <c r="W100" i="88" s="1"/>
  <c r="S102" i="88"/>
  <c r="AD102" i="88"/>
  <c r="Z102" i="88"/>
  <c r="AA109" i="88"/>
  <c r="AA115" i="88"/>
  <c r="S91" i="88"/>
  <c r="Q93" i="88"/>
  <c r="Z93" i="88"/>
  <c r="W93" i="88"/>
  <c r="Y93" i="88"/>
  <c r="AB93" i="88" s="1"/>
  <c r="Q96" i="88"/>
  <c r="Z96" i="88"/>
  <c r="W96" i="88"/>
  <c r="Y96" i="88" s="1"/>
  <c r="AB96" i="88"/>
  <c r="M101" i="88"/>
  <c r="P102" i="88"/>
  <c r="R102" i="88" s="1"/>
  <c r="W103" i="88"/>
  <c r="Y103" i="88"/>
  <c r="AB103" i="88" s="1"/>
  <c r="Q105" i="88"/>
  <c r="Z105" i="88" s="1"/>
  <c r="W105" i="88"/>
  <c r="Y105" i="88"/>
  <c r="AB105" i="88" s="1"/>
  <c r="AA75" i="88"/>
  <c r="W16" i="88"/>
  <c r="Y16" i="88"/>
  <c r="AB16" i="88"/>
  <c r="X16" i="88"/>
  <c r="AA16" i="88" s="1"/>
  <c r="M100" i="88"/>
  <c r="Z101" i="88"/>
  <c r="S22" i="88"/>
  <c r="X100" i="88"/>
  <c r="M73" i="88"/>
  <c r="AA74" i="88"/>
  <c r="AB74" i="88"/>
  <c r="W28" i="88"/>
  <c r="Y28" i="88"/>
  <c r="AB28" i="88"/>
  <c r="Q7" i="88"/>
  <c r="AD7" i="88"/>
  <c r="W98" i="88"/>
  <c r="Y98" i="88" s="1"/>
  <c r="AB98" i="88" s="1"/>
  <c r="AA101" i="88"/>
  <c r="AA92" i="88"/>
  <c r="Z108" i="88"/>
  <c r="Q30" i="88"/>
  <c r="Z30" i="88"/>
  <c r="R30" i="88"/>
  <c r="S30" i="88" s="1"/>
  <c r="AA15" i="88"/>
  <c r="AA58" i="89"/>
  <c r="AB68" i="89"/>
  <c r="AB13" i="89"/>
  <c r="Q104" i="89"/>
  <c r="Z104" i="89"/>
  <c r="Q105" i="89"/>
  <c r="Z105" i="89"/>
  <c r="Q91" i="89"/>
  <c r="Z91" i="89"/>
  <c r="Q93" i="89"/>
  <c r="Z93" i="89"/>
  <c r="Z90" i="89" s="1"/>
  <c r="Q96" i="89"/>
  <c r="Z96" i="89"/>
  <c r="R98" i="89"/>
  <c r="S98" i="89"/>
  <c r="R83" i="89"/>
  <c r="S83" i="89"/>
  <c r="Q79" i="89"/>
  <c r="Z79" i="89"/>
  <c r="Q82" i="89"/>
  <c r="Z82" i="89"/>
  <c r="Q84" i="89"/>
  <c r="R85" i="89"/>
  <c r="S85" i="89" s="1"/>
  <c r="Q86" i="89"/>
  <c r="R87" i="89"/>
  <c r="S87" i="89"/>
  <c r="R47" i="89"/>
  <c r="S47" i="89"/>
  <c r="Q69" i="89"/>
  <c r="R50" i="89"/>
  <c r="S50" i="89" s="1"/>
  <c r="R53" i="89"/>
  <c r="S53" i="89" s="1"/>
  <c r="R56" i="89"/>
  <c r="S56" i="89" s="1"/>
  <c r="Q62" i="89"/>
  <c r="R68" i="89"/>
  <c r="S68" i="89" s="1"/>
  <c r="Q70" i="89"/>
  <c r="Z70" i="89"/>
  <c r="Q72" i="89"/>
  <c r="P46" i="89"/>
  <c r="R46" i="89" s="1"/>
  <c r="Q63" i="89"/>
  <c r="Z63" i="89"/>
  <c r="Q54" i="89"/>
  <c r="Z54" i="89" s="1"/>
  <c r="R55" i="89"/>
  <c r="S55" i="89"/>
  <c r="R59" i="89"/>
  <c r="S59" i="89" s="1"/>
  <c r="Q31" i="89"/>
  <c r="Z31" i="89" s="1"/>
  <c r="Q41" i="89"/>
  <c r="Q42" i="89"/>
  <c r="Q44" i="89"/>
  <c r="Z44" i="89" s="1"/>
  <c r="R42" i="89"/>
  <c r="S42" i="89" s="1"/>
  <c r="R29" i="89"/>
  <c r="S29" i="89"/>
  <c r="Q37" i="89"/>
  <c r="Z37" i="89" s="1"/>
  <c r="Z42" i="89"/>
  <c r="R43" i="89"/>
  <c r="S43" i="89"/>
  <c r="R16" i="89"/>
  <c r="S16" i="89"/>
  <c r="Q16" i="89"/>
  <c r="Z16" i="89"/>
  <c r="AA7" i="89"/>
  <c r="X16" i="89"/>
  <c r="AA16" i="89"/>
  <c r="W16" i="89"/>
  <c r="Y16" i="89" s="1"/>
  <c r="AB16" i="89" s="1"/>
  <c r="M6" i="89"/>
  <c r="Z10" i="89"/>
  <c r="X32" i="89"/>
  <c r="AA32" i="89"/>
  <c r="Z39" i="89"/>
  <c r="X8" i="89"/>
  <c r="AA8" i="89" s="1"/>
  <c r="W8" i="89"/>
  <c r="Y8" i="89" s="1"/>
  <c r="R11" i="89"/>
  <c r="S11" i="89"/>
  <c r="AD11" i="89"/>
  <c r="Q11" i="89"/>
  <c r="Z15" i="89"/>
  <c r="M20" i="89"/>
  <c r="AD10" i="89"/>
  <c r="AD14" i="89"/>
  <c r="R14" i="89"/>
  <c r="S14" i="89"/>
  <c r="W28" i="89"/>
  <c r="Y28" i="89"/>
  <c r="AB28" i="89" s="1"/>
  <c r="X34" i="89"/>
  <c r="W34" i="89"/>
  <c r="Y34" i="89" s="1"/>
  <c r="X63" i="89"/>
  <c r="AA63" i="89"/>
  <c r="W63" i="89"/>
  <c r="Y63" i="89" s="1"/>
  <c r="AB63" i="89" s="1"/>
  <c r="U6" i="89"/>
  <c r="P7" i="89"/>
  <c r="Q7" i="89" s="1"/>
  <c r="Q8" i="89"/>
  <c r="Z8" i="89"/>
  <c r="AD13" i="89"/>
  <c r="Q14" i="89"/>
  <c r="Z14" i="89" s="1"/>
  <c r="R26" i="89"/>
  <c r="S26" i="89"/>
  <c r="Q26" i="89"/>
  <c r="Z26" i="89" s="1"/>
  <c r="Z33" i="89"/>
  <c r="X38" i="89"/>
  <c r="AA38" i="89"/>
  <c r="W38" i="89"/>
  <c r="Y38" i="89"/>
  <c r="AB38" i="89" s="1"/>
  <c r="AA47" i="89"/>
  <c r="W48" i="89"/>
  <c r="Y48" i="89"/>
  <c r="AB48" i="89" s="1"/>
  <c r="AA50" i="89"/>
  <c r="AD52" i="89"/>
  <c r="R52" i="89"/>
  <c r="S52" i="89" s="1"/>
  <c r="AA53" i="89"/>
  <c r="R57" i="89"/>
  <c r="S57" i="89"/>
  <c r="Q57" i="89"/>
  <c r="AA60" i="89"/>
  <c r="R67" i="89"/>
  <c r="S67" i="89" s="1"/>
  <c r="Q67" i="89"/>
  <c r="Z67" i="89"/>
  <c r="X70" i="89"/>
  <c r="AA70" i="89" s="1"/>
  <c r="W70" i="89"/>
  <c r="Y70" i="89"/>
  <c r="AB70" i="89"/>
  <c r="X75" i="89"/>
  <c r="AA75" i="89" s="1"/>
  <c r="W75" i="89"/>
  <c r="Y75" i="89"/>
  <c r="AB75" i="89"/>
  <c r="P78" i="89"/>
  <c r="P73" i="89"/>
  <c r="R73" i="89"/>
  <c r="O73" i="89"/>
  <c r="O128" i="89" s="1"/>
  <c r="R80" i="89"/>
  <c r="S80" i="89"/>
  <c r="Q80" i="89"/>
  <c r="Z80" i="89"/>
  <c r="X81" i="89"/>
  <c r="AA81" i="89"/>
  <c r="T73" i="89"/>
  <c r="V73" i="89"/>
  <c r="W73" i="89" s="1"/>
  <c r="Y73" i="89" s="1"/>
  <c r="AB73" i="89" s="1"/>
  <c r="AG128" i="89"/>
  <c r="AK128" i="89"/>
  <c r="R102" i="89"/>
  <c r="P100" i="89"/>
  <c r="S103" i="89"/>
  <c r="AD103" i="89"/>
  <c r="R103" i="89"/>
  <c r="W7" i="89"/>
  <c r="R8" i="89"/>
  <c r="S8" i="89"/>
  <c r="Q9" i="89"/>
  <c r="Z9" i="89"/>
  <c r="X9" i="89"/>
  <c r="AA9" i="89"/>
  <c r="R13" i="89"/>
  <c r="S13" i="89"/>
  <c r="AA13" i="89"/>
  <c r="Z18" i="89"/>
  <c r="X23" i="89"/>
  <c r="AA23" i="89" s="1"/>
  <c r="W23" i="89"/>
  <c r="Y23" i="89" s="1"/>
  <c r="Q25" i="89"/>
  <c r="Z25" i="89"/>
  <c r="AD26" i="89"/>
  <c r="Q28" i="89"/>
  <c r="Z28" i="89" s="1"/>
  <c r="U20" i="89"/>
  <c r="U128" i="89" s="1"/>
  <c r="W37" i="89"/>
  <c r="Y37" i="89" s="1"/>
  <c r="AB37" i="89" s="1"/>
  <c r="X40" i="89"/>
  <c r="AA40" i="89"/>
  <c r="W40" i="89"/>
  <c r="Y40" i="89" s="1"/>
  <c r="AB40" i="89" s="1"/>
  <c r="W42" i="89"/>
  <c r="Y42" i="89"/>
  <c r="AB42" i="89"/>
  <c r="K46" i="89"/>
  <c r="R49" i="89"/>
  <c r="S49" i="89"/>
  <c r="Q49" i="89"/>
  <c r="Z49" i="89" s="1"/>
  <c r="X51" i="89"/>
  <c r="AA51" i="89"/>
  <c r="W51" i="89"/>
  <c r="Y51" i="89" s="1"/>
  <c r="AB51" i="89" s="1"/>
  <c r="Q52" i="89"/>
  <c r="Z52" i="89"/>
  <c r="Z60" i="89"/>
  <c r="W60" i="89"/>
  <c r="Y60" i="89"/>
  <c r="AB60" i="89"/>
  <c r="Q66" i="89"/>
  <c r="Z66" i="89"/>
  <c r="Z74" i="89"/>
  <c r="R77" i="89"/>
  <c r="S77" i="89"/>
  <c r="Q77" i="89"/>
  <c r="Z77" i="89" s="1"/>
  <c r="X85" i="89"/>
  <c r="AA85" i="89"/>
  <c r="P94" i="89"/>
  <c r="P90" i="89" s="1"/>
  <c r="N90" i="89"/>
  <c r="C128" i="89"/>
  <c r="G128" i="89"/>
  <c r="L128" i="89"/>
  <c r="AC128" i="89"/>
  <c r="R22" i="89"/>
  <c r="P20" i="89"/>
  <c r="R23" i="89"/>
  <c r="S23" i="89" s="1"/>
  <c r="Q23" i="89"/>
  <c r="Z23" i="89"/>
  <c r="R30" i="89"/>
  <c r="S30" i="89" s="1"/>
  <c r="Q30" i="89"/>
  <c r="Z30" i="89"/>
  <c r="AD35" i="89"/>
  <c r="AD20" i="89" s="1"/>
  <c r="R35" i="89"/>
  <c r="S35" i="89"/>
  <c r="R40" i="89"/>
  <c r="S40" i="89"/>
  <c r="Q40" i="89"/>
  <c r="Z40" i="89"/>
  <c r="Z41" i="89"/>
  <c r="M46" i="89"/>
  <c r="X49" i="89"/>
  <c r="AA49" i="89"/>
  <c r="W49" i="89"/>
  <c r="Y49" i="89" s="1"/>
  <c r="AB49" i="89" s="1"/>
  <c r="R51" i="89"/>
  <c r="S51" i="89"/>
  <c r="Q51" i="89"/>
  <c r="Z51" i="89"/>
  <c r="AA72" i="89"/>
  <c r="R10" i="89"/>
  <c r="S10" i="89"/>
  <c r="Z13" i="89"/>
  <c r="Z21" i="89"/>
  <c r="Q22" i="89"/>
  <c r="AD23" i="89"/>
  <c r="Z29" i="89"/>
  <c r="Q32" i="89"/>
  <c r="Z32" i="89"/>
  <c r="Q35" i="89"/>
  <c r="Z35" i="89"/>
  <c r="Q45" i="89"/>
  <c r="Z45" i="89"/>
  <c r="Z47" i="89"/>
  <c r="Z50" i="89"/>
  <c r="Z53" i="89"/>
  <c r="AD58" i="89"/>
  <c r="R58" i="89"/>
  <c r="S58" i="89" s="1"/>
  <c r="K6" i="89"/>
  <c r="R9" i="89"/>
  <c r="S9" i="89" s="1"/>
  <c r="W14" i="89"/>
  <c r="Y14" i="89"/>
  <c r="AB14" i="89"/>
  <c r="W17" i="89"/>
  <c r="Y17" i="89"/>
  <c r="AB17" i="89"/>
  <c r="K20" i="89"/>
  <c r="K128" i="89" s="1"/>
  <c r="W22" i="89"/>
  <c r="Y22" i="89"/>
  <c r="AB22" i="89"/>
  <c r="X26" i="89"/>
  <c r="AA26" i="89" s="1"/>
  <c r="W26" i="89"/>
  <c r="Y26" i="89"/>
  <c r="AB26" i="89"/>
  <c r="W35" i="89"/>
  <c r="Y35" i="89"/>
  <c r="AB35" i="89"/>
  <c r="R38" i="89"/>
  <c r="S38" i="89" s="1"/>
  <c r="Q38" i="89"/>
  <c r="Z38" i="89"/>
  <c r="Z43" i="89"/>
  <c r="AA43" i="89"/>
  <c r="W45" i="89"/>
  <c r="Y45" i="89"/>
  <c r="AB45" i="89"/>
  <c r="Q48" i="89"/>
  <c r="Z48" i="89"/>
  <c r="Z55" i="89"/>
  <c r="AA55" i="89"/>
  <c r="AD57" i="89"/>
  <c r="X61" i="89"/>
  <c r="Z68" i="89"/>
  <c r="AA68" i="89"/>
  <c r="X71" i="89"/>
  <c r="W71" i="89"/>
  <c r="Y71" i="89" s="1"/>
  <c r="AB71" i="89" s="1"/>
  <c r="X74" i="89"/>
  <c r="AA74" i="89" s="1"/>
  <c r="W74" i="89"/>
  <c r="Y74" i="89" s="1"/>
  <c r="AB74" i="89" s="1"/>
  <c r="M76" i="89"/>
  <c r="AA76" i="89" s="1"/>
  <c r="M73" i="89"/>
  <c r="W98" i="89"/>
  <c r="Y98" i="89"/>
  <c r="AB98" i="89"/>
  <c r="R61" i="89"/>
  <c r="S61" i="89" s="1"/>
  <c r="Q61" i="89"/>
  <c r="Z62" i="89"/>
  <c r="X67" i="89"/>
  <c r="AA67" i="89"/>
  <c r="W67" i="89"/>
  <c r="Y67" i="89"/>
  <c r="AB67" i="89" s="1"/>
  <c r="Z69" i="89"/>
  <c r="X80" i="89"/>
  <c r="AA80" i="89"/>
  <c r="W80" i="89"/>
  <c r="Y80" i="89"/>
  <c r="AB80" i="89"/>
  <c r="Z85" i="89"/>
  <c r="R97" i="89"/>
  <c r="S97" i="89"/>
  <c r="Q97" i="89"/>
  <c r="Z97" i="89"/>
  <c r="AH128" i="89"/>
  <c r="AL128" i="89"/>
  <c r="Z101" i="89"/>
  <c r="X102" i="89"/>
  <c r="AA102" i="89"/>
  <c r="W102" i="89"/>
  <c r="Y102" i="89"/>
  <c r="AB102" i="89" s="1"/>
  <c r="Z65" i="89"/>
  <c r="R71" i="89"/>
  <c r="S71" i="89" s="1"/>
  <c r="Q71" i="89"/>
  <c r="Z72" i="89"/>
  <c r="R74" i="89"/>
  <c r="S74" i="89"/>
  <c r="R75" i="89"/>
  <c r="S75" i="89"/>
  <c r="Q75" i="89"/>
  <c r="Z75" i="89"/>
  <c r="Z76" i="89"/>
  <c r="W79" i="89"/>
  <c r="Y79" i="89" s="1"/>
  <c r="AB79" i="89" s="1"/>
  <c r="Q81" i="89"/>
  <c r="Z81" i="89"/>
  <c r="R81" i="89"/>
  <c r="S81" i="89"/>
  <c r="X83" i="89"/>
  <c r="AA83" i="89"/>
  <c r="X87" i="89"/>
  <c r="AA87" i="89"/>
  <c r="S91" i="89"/>
  <c r="X97" i="89"/>
  <c r="AA97" i="89" s="1"/>
  <c r="W97" i="89"/>
  <c r="AA92" i="89"/>
  <c r="Z98" i="89"/>
  <c r="D128" i="89"/>
  <c r="H128" i="89"/>
  <c r="N128" i="89"/>
  <c r="AE128" i="89"/>
  <c r="AI128" i="89"/>
  <c r="AM128" i="89"/>
  <c r="AB104" i="89"/>
  <c r="AA114" i="89"/>
  <c r="AA119" i="89"/>
  <c r="Z86" i="89"/>
  <c r="AA91" i="89"/>
  <c r="E128" i="89"/>
  <c r="I128" i="89"/>
  <c r="AF128" i="89"/>
  <c r="AJ128" i="89"/>
  <c r="S102" i="89"/>
  <c r="AD102" i="89"/>
  <c r="AD100" i="89" s="1"/>
  <c r="Q100" i="89"/>
  <c r="M103" i="89"/>
  <c r="M100" i="89" s="1"/>
  <c r="AA103" i="89"/>
  <c r="K100" i="89"/>
  <c r="Y107" i="89"/>
  <c r="W106" i="89"/>
  <c r="Z107" i="89"/>
  <c r="Z106" i="89" s="1"/>
  <c r="O100" i="89"/>
  <c r="M110" i="89"/>
  <c r="AA110" i="89" s="1"/>
  <c r="T128" i="89"/>
  <c r="AB107" i="89"/>
  <c r="AB106" i="89" s="1"/>
  <c r="Y106" i="89"/>
  <c r="W30" i="89"/>
  <c r="Y30" i="89" s="1"/>
  <c r="AB30" i="89" s="1"/>
  <c r="X30" i="89"/>
  <c r="S100" i="89"/>
  <c r="Y97" i="89"/>
  <c r="AB97" i="89" s="1"/>
  <c r="X89" i="89"/>
  <c r="W89" i="89"/>
  <c r="Y89" i="89"/>
  <c r="AB89" i="89" s="1"/>
  <c r="S22" i="89"/>
  <c r="Z22" i="89"/>
  <c r="Q94" i="89"/>
  <c r="Q90" i="89" s="1"/>
  <c r="R100" i="89"/>
  <c r="Q78" i="89"/>
  <c r="Z78" i="89"/>
  <c r="R78" i="89"/>
  <c r="S78" i="89"/>
  <c r="R7" i="89"/>
  <c r="Z94" i="89"/>
  <c r="AA30" i="89"/>
  <c r="V100" i="89"/>
  <c r="X100" i="89" s="1"/>
  <c r="W105" i="89"/>
  <c r="Y105" i="89" s="1"/>
  <c r="AB105" i="89" s="1"/>
  <c r="AA95" i="89"/>
  <c r="Y94" i="89"/>
  <c r="Y90" i="89" s="1"/>
  <c r="AB94" i="89"/>
  <c r="W90" i="89"/>
  <c r="W99" i="89"/>
  <c r="Y99" i="89"/>
  <c r="AB99" i="89" s="1"/>
  <c r="AA78" i="89"/>
  <c r="X73" i="89"/>
  <c r="W78" i="89"/>
  <c r="Y78" i="89"/>
  <c r="AB78" i="89"/>
  <c r="W25" i="89"/>
  <c r="Y25" i="89" s="1"/>
  <c r="AB25" i="89" s="1"/>
  <c r="V20" i="89"/>
  <c r="W33" i="89"/>
  <c r="Y33" i="89"/>
  <c r="AB33" i="89"/>
  <c r="W41" i="89"/>
  <c r="Y41" i="89"/>
  <c r="AB41" i="89"/>
  <c r="AB21" i="89"/>
  <c r="AA10" i="89"/>
  <c r="V6" i="89"/>
  <c r="V128" i="89"/>
  <c r="X15" i="89"/>
  <c r="AA15" i="89"/>
  <c r="W10" i="89"/>
  <c r="Y10" i="89"/>
  <c r="AB10" i="89" s="1"/>
  <c r="W11" i="89"/>
  <c r="Y11" i="89"/>
  <c r="Y7" i="89"/>
  <c r="AB7" i="89" s="1"/>
  <c r="W100" i="89"/>
  <c r="Y100" i="89"/>
  <c r="W6" i="89"/>
  <c r="AB100" i="89" l="1"/>
  <c r="AB8" i="89"/>
  <c r="Y6" i="89"/>
  <c r="Y100" i="88"/>
  <c r="Z7" i="89"/>
  <c r="N5" i="81"/>
  <c r="R100" i="88"/>
  <c r="K129" i="80"/>
  <c r="AB23" i="89"/>
  <c r="AB20" i="89" s="1"/>
  <c r="Y20" i="89"/>
  <c r="W56" i="85"/>
  <c r="Y56" i="85" s="1"/>
  <c r="AB56" i="85" s="1"/>
  <c r="X56" i="85"/>
  <c r="AA56" i="85" s="1"/>
  <c r="O89" i="81"/>
  <c r="M20" i="80"/>
  <c r="Z21" i="80"/>
  <c r="W21" i="80"/>
  <c r="V20" i="80"/>
  <c r="X21" i="80"/>
  <c r="W24" i="80"/>
  <c r="Y24" i="80" s="1"/>
  <c r="X24" i="80"/>
  <c r="AA24" i="80" s="1"/>
  <c r="Q65" i="86"/>
  <c r="Z65" i="86" s="1"/>
  <c r="R65" i="86"/>
  <c r="S65" i="86" s="1"/>
  <c r="P46" i="86"/>
  <c r="R46" i="86" s="1"/>
  <c r="W82" i="86"/>
  <c r="Y82" i="86" s="1"/>
  <c r="AB82" i="86" s="1"/>
  <c r="X82" i="86"/>
  <c r="AA82" i="86" s="1"/>
  <c r="S7" i="89"/>
  <c r="R94" i="89"/>
  <c r="S94" i="89" s="1"/>
  <c r="Z61" i="89"/>
  <c r="AA71" i="89"/>
  <c r="X46" i="89"/>
  <c r="AA57" i="89"/>
  <c r="S103" i="88"/>
  <c r="X28" i="88"/>
  <c r="AA28" i="88" s="1"/>
  <c r="V20" i="88"/>
  <c r="S6" i="80"/>
  <c r="O47" i="81"/>
  <c r="X79" i="85"/>
  <c r="AA79" i="85" s="1"/>
  <c r="W79" i="85"/>
  <c r="Y79" i="85" s="1"/>
  <c r="AB79" i="85" s="1"/>
  <c r="Q55" i="80"/>
  <c r="Z55" i="80" s="1"/>
  <c r="O102" i="81"/>
  <c r="AB104" i="80"/>
  <c r="M107" i="81"/>
  <c r="AB47" i="80"/>
  <c r="O46" i="81"/>
  <c r="AA87" i="80"/>
  <c r="X74" i="80"/>
  <c r="V20" i="86"/>
  <c r="W29" i="86"/>
  <c r="Y29" i="86" s="1"/>
  <c r="AB29" i="86" s="1"/>
  <c r="AB76" i="86"/>
  <c r="S21" i="86"/>
  <c r="N73" i="81"/>
  <c r="M8" i="80"/>
  <c r="K6" i="80"/>
  <c r="AA90" i="85"/>
  <c r="V90" i="85"/>
  <c r="V128" i="85" s="1"/>
  <c r="X97" i="85"/>
  <c r="AA97" i="85" s="1"/>
  <c r="X90" i="85"/>
  <c r="Z25" i="86"/>
  <c r="Q81" i="86"/>
  <c r="Z81" i="86" s="1"/>
  <c r="R81" i="86"/>
  <c r="S81" i="86" s="1"/>
  <c r="Q84" i="88"/>
  <c r="Z84" i="88" s="1"/>
  <c r="R84" i="88"/>
  <c r="S84" i="88" s="1"/>
  <c r="X20" i="89"/>
  <c r="X128" i="89" s="1"/>
  <c r="AD7" i="89"/>
  <c r="Z103" i="89"/>
  <c r="Z100" i="89" s="1"/>
  <c r="AA59" i="89"/>
  <c r="Z108" i="89"/>
  <c r="Z57" i="89"/>
  <c r="Z46" i="89" s="1"/>
  <c r="R103" i="88"/>
  <c r="X72" i="88"/>
  <c r="AA72" i="88" s="1"/>
  <c r="Z96" i="86"/>
  <c r="AD6" i="85"/>
  <c r="AA51" i="80"/>
  <c r="AB51" i="80"/>
  <c r="Y90" i="85"/>
  <c r="AB21" i="86"/>
  <c r="Z10" i="85"/>
  <c r="Q6" i="85"/>
  <c r="S21" i="80"/>
  <c r="AB75" i="80"/>
  <c r="O73" i="81"/>
  <c r="X14" i="80"/>
  <c r="AA14" i="80" s="1"/>
  <c r="W14" i="80"/>
  <c r="Y14" i="80" s="1"/>
  <c r="V6" i="80"/>
  <c r="Z6" i="85"/>
  <c r="Z76" i="86"/>
  <c r="AB74" i="80"/>
  <c r="O6" i="81"/>
  <c r="AB7" i="80"/>
  <c r="W17" i="80"/>
  <c r="Y17" i="80" s="1"/>
  <c r="X17" i="80"/>
  <c r="AA17" i="80" s="1"/>
  <c r="O21" i="81"/>
  <c r="AB22" i="80"/>
  <c r="S73" i="86"/>
  <c r="W83" i="86"/>
  <c r="Y83" i="86" s="1"/>
  <c r="AB83" i="86" s="1"/>
  <c r="X83" i="86"/>
  <c r="AA83" i="86" s="1"/>
  <c r="Q73" i="89"/>
  <c r="Q46" i="89"/>
  <c r="AA61" i="89"/>
  <c r="W20" i="89"/>
  <c r="W128" i="89" s="1"/>
  <c r="X90" i="89"/>
  <c r="P6" i="89"/>
  <c r="AA62" i="89"/>
  <c r="AA69" i="88"/>
  <c r="Z67" i="88"/>
  <c r="R7" i="88"/>
  <c r="P6" i="88"/>
  <c r="AA8" i="80"/>
  <c r="O12" i="81"/>
  <c r="AB30" i="80"/>
  <c r="K73" i="86"/>
  <c r="K128" i="86" s="1"/>
  <c r="X46" i="85"/>
  <c r="W46" i="85"/>
  <c r="Y46" i="85" s="1"/>
  <c r="AB46" i="85" s="1"/>
  <c r="Z102" i="85"/>
  <c r="Z35" i="85"/>
  <c r="Q20" i="85"/>
  <c r="AB23" i="80"/>
  <c r="N46" i="81"/>
  <c r="M128" i="86"/>
  <c r="Z100" i="86"/>
  <c r="AA76" i="86"/>
  <c r="S14" i="85"/>
  <c r="S6" i="85" s="1"/>
  <c r="R6" i="85"/>
  <c r="W15" i="80"/>
  <c r="Y15" i="80" s="1"/>
  <c r="X15" i="80"/>
  <c r="AA15" i="80" s="1"/>
  <c r="O24" i="81"/>
  <c r="AB25" i="80"/>
  <c r="O17" i="81"/>
  <c r="AB18" i="80"/>
  <c r="Q26" i="80"/>
  <c r="Z26" i="80" s="1"/>
  <c r="R26" i="80"/>
  <c r="S26" i="80" s="1"/>
  <c r="N25" i="81" s="1"/>
  <c r="AD26" i="80"/>
  <c r="AD20" i="80" s="1"/>
  <c r="P20" i="80"/>
  <c r="Q29" i="80"/>
  <c r="Z29" i="80" s="1"/>
  <c r="R29" i="80"/>
  <c r="S29" i="80" s="1"/>
  <c r="N28" i="81" s="1"/>
  <c r="AA49" i="80"/>
  <c r="M46" i="80"/>
  <c r="AB46" i="80" s="1"/>
  <c r="R51" i="80"/>
  <c r="S51" i="80" s="1"/>
  <c r="N50" i="81" s="1"/>
  <c r="Q51" i="80"/>
  <c r="P46" i="80"/>
  <c r="R46" i="80" s="1"/>
  <c r="M91" i="80"/>
  <c r="Z92" i="80"/>
  <c r="N94" i="81"/>
  <c r="N89" i="81" s="1"/>
  <c r="Z98" i="80"/>
  <c r="P102" i="80"/>
  <c r="Q102" i="80"/>
  <c r="V101" i="80"/>
  <c r="W105" i="80"/>
  <c r="Y105" i="80" s="1"/>
  <c r="X105" i="80"/>
  <c r="AA105" i="80" s="1"/>
  <c r="AA101" i="80" s="1"/>
  <c r="P30" i="80"/>
  <c r="O20" i="80"/>
  <c r="O129" i="80" s="1"/>
  <c r="Z20" i="85"/>
  <c r="W31" i="85"/>
  <c r="Y31" i="85" s="1"/>
  <c r="AB31" i="85" s="1"/>
  <c r="X31" i="85"/>
  <c r="AA31" i="85" s="1"/>
  <c r="W28" i="80"/>
  <c r="Y28" i="80" s="1"/>
  <c r="X28" i="80"/>
  <c r="AA28" i="80" s="1"/>
  <c r="O74" i="81"/>
  <c r="AB76" i="80"/>
  <c r="AB92" i="80"/>
  <c r="Q11" i="80"/>
  <c r="Q6" i="80" s="1"/>
  <c r="Z28" i="80"/>
  <c r="AB85" i="80"/>
  <c r="AA85" i="80"/>
  <c r="AA74" i="80" s="1"/>
  <c r="Q89" i="80"/>
  <c r="Z89" i="80" s="1"/>
  <c r="R89" i="80"/>
  <c r="S89" i="80" s="1"/>
  <c r="W89" i="80"/>
  <c r="Y89" i="80" s="1"/>
  <c r="AB89" i="80" s="1"/>
  <c r="X89" i="80"/>
  <c r="AA89" i="80" s="1"/>
  <c r="X87" i="85"/>
  <c r="AA87" i="85" s="1"/>
  <c r="W87" i="85"/>
  <c r="Y87" i="85" s="1"/>
  <c r="AB87" i="85" s="1"/>
  <c r="T128" i="85"/>
  <c r="O88" i="81"/>
  <c r="AB88" i="80"/>
  <c r="AA92" i="80"/>
  <c r="O101" i="81"/>
  <c r="AB103" i="80"/>
  <c r="AB59" i="80"/>
  <c r="O58" i="81"/>
  <c r="G129" i="80"/>
  <c r="Q61" i="80"/>
  <c r="Z61" i="80" s="1"/>
  <c r="R61" i="80"/>
  <c r="S61" i="80" s="1"/>
  <c r="N59" i="81" s="1"/>
  <c r="Q63" i="80"/>
  <c r="Z63" i="80" s="1"/>
  <c r="R63" i="80"/>
  <c r="S63" i="80" s="1"/>
  <c r="R66" i="80"/>
  <c r="S66" i="80" s="1"/>
  <c r="N64" i="81" s="1"/>
  <c r="Q66" i="80"/>
  <c r="Z66" i="80" s="1"/>
  <c r="X70" i="80"/>
  <c r="AA70" i="80" s="1"/>
  <c r="W70" i="80"/>
  <c r="Y70" i="80" s="1"/>
  <c r="P78" i="80"/>
  <c r="O74" i="80"/>
  <c r="Q79" i="80"/>
  <c r="Z79" i="80" s="1"/>
  <c r="R79" i="80"/>
  <c r="S79" i="80" s="1"/>
  <c r="N77" i="81" s="1"/>
  <c r="M74" i="80"/>
  <c r="M117" i="80"/>
  <c r="AA117" i="80" s="1"/>
  <c r="K109" i="80"/>
  <c r="M109" i="80" s="1"/>
  <c r="R44" i="85"/>
  <c r="Q44" i="85"/>
  <c r="Z44" i="85" s="1"/>
  <c r="Q85" i="85"/>
  <c r="Z85" i="85" s="1"/>
  <c r="R85" i="85"/>
  <c r="S85" i="85" s="1"/>
  <c r="X86" i="85"/>
  <c r="AA86" i="85" s="1"/>
  <c r="AA73" i="85" s="1"/>
  <c r="W86" i="85"/>
  <c r="Y86" i="85" s="1"/>
  <c r="AB86" i="85" s="1"/>
  <c r="X107" i="80"/>
  <c r="AA108" i="80"/>
  <c r="AA107" i="80" s="1"/>
  <c r="O28" i="81"/>
  <c r="AB29" i="80"/>
  <c r="Q39" i="80"/>
  <c r="Z39" i="80" s="1"/>
  <c r="R39" i="80"/>
  <c r="S39" i="80" s="1"/>
  <c r="N38" i="81" s="1"/>
  <c r="O86" i="81"/>
  <c r="AB86" i="80"/>
  <c r="O76" i="81"/>
  <c r="AB78" i="80"/>
  <c r="S103" i="80"/>
  <c r="Z103" i="80"/>
  <c r="AB9" i="80"/>
  <c r="X10" i="80"/>
  <c r="W10" i="80"/>
  <c r="Q25" i="80"/>
  <c r="R25" i="80"/>
  <c r="S25" i="80" s="1"/>
  <c r="N24" i="81" s="1"/>
  <c r="X27" i="80"/>
  <c r="AA27" i="80" s="1"/>
  <c r="W27" i="80"/>
  <c r="Y27" i="80" s="1"/>
  <c r="W34" i="80"/>
  <c r="Y34" i="80" s="1"/>
  <c r="O33" i="81" s="1"/>
  <c r="X34" i="80"/>
  <c r="Q37" i="80"/>
  <c r="Z37" i="80" s="1"/>
  <c r="R37" i="80"/>
  <c r="S37" i="80" s="1"/>
  <c r="N36" i="81" s="1"/>
  <c r="W17" i="85"/>
  <c r="Y17" i="85" s="1"/>
  <c r="AB17" i="85" s="1"/>
  <c r="X17" i="85"/>
  <c r="AA17" i="85" s="1"/>
  <c r="Q106" i="85"/>
  <c r="Z107" i="85"/>
  <c r="Z106" i="85" s="1"/>
  <c r="P6" i="86"/>
  <c r="Q7" i="86"/>
  <c r="Q8" i="86"/>
  <c r="Z8" i="86" s="1"/>
  <c r="R8" i="86"/>
  <c r="X98" i="86"/>
  <c r="AA98" i="86" s="1"/>
  <c r="W98" i="86"/>
  <c r="Y98" i="86" s="1"/>
  <c r="AB98" i="86" s="1"/>
  <c r="O96" i="81"/>
  <c r="AB55" i="80"/>
  <c r="AA58" i="80"/>
  <c r="AH129" i="80"/>
  <c r="O20" i="85"/>
  <c r="O128" i="85" s="1"/>
  <c r="AB43" i="85"/>
  <c r="R11" i="86"/>
  <c r="S11" i="86" s="1"/>
  <c r="Q11" i="86"/>
  <c r="P73" i="86"/>
  <c r="R73" i="86" s="1"/>
  <c r="AB104" i="86"/>
  <c r="AD15" i="88"/>
  <c r="Q15" i="88"/>
  <c r="Z15" i="88" s="1"/>
  <c r="X21" i="88"/>
  <c r="W21" i="88"/>
  <c r="AB81" i="80"/>
  <c r="U129" i="80"/>
  <c r="AA88" i="80"/>
  <c r="AG129" i="80"/>
  <c r="M90" i="81"/>
  <c r="M89" i="81" s="1"/>
  <c r="K89" i="81"/>
  <c r="K107" i="81" s="1"/>
  <c r="X11" i="85"/>
  <c r="X6" i="85" s="1"/>
  <c r="W11" i="85"/>
  <c r="Y11" i="85" s="1"/>
  <c r="Y6" i="85" s="1"/>
  <c r="Z30" i="85"/>
  <c r="Q48" i="85"/>
  <c r="R48" i="85"/>
  <c r="S48" i="85" s="1"/>
  <c r="W37" i="86"/>
  <c r="Y37" i="86" s="1"/>
  <c r="AB37" i="86" s="1"/>
  <c r="X37" i="86"/>
  <c r="AA37" i="86" s="1"/>
  <c r="Z49" i="80"/>
  <c r="Z88" i="80"/>
  <c r="N129" i="80"/>
  <c r="Z58" i="80"/>
  <c r="Z69" i="80"/>
  <c r="Z83" i="80"/>
  <c r="AC129" i="80"/>
  <c r="AL129" i="80"/>
  <c r="D26" i="82"/>
  <c r="U107" i="81"/>
  <c r="H107" i="81"/>
  <c r="D107" i="81"/>
  <c r="AB12" i="85"/>
  <c r="AB6" i="85" s="1"/>
  <c r="W13" i="85"/>
  <c r="Y13" i="85" s="1"/>
  <c r="AB13" i="85" s="1"/>
  <c r="X13" i="85"/>
  <c r="AA13" i="85" s="1"/>
  <c r="AA6" i="85" s="1"/>
  <c r="AA18" i="85"/>
  <c r="AN128" i="85"/>
  <c r="W27" i="85"/>
  <c r="X27" i="85"/>
  <c r="AA27" i="85" s="1"/>
  <c r="W36" i="85"/>
  <c r="Y36" i="85" s="1"/>
  <c r="AB36" i="85" s="1"/>
  <c r="X36" i="85"/>
  <c r="AA36" i="85" s="1"/>
  <c r="AA43" i="85"/>
  <c r="R70" i="85"/>
  <c r="S70" i="85" s="1"/>
  <c r="Q70" i="85"/>
  <c r="Z70" i="85" s="1"/>
  <c r="R74" i="85"/>
  <c r="S74" i="85" s="1"/>
  <c r="Q74" i="85"/>
  <c r="R86" i="85"/>
  <c r="S86" i="85" s="1"/>
  <c r="Q86" i="85"/>
  <c r="Z86" i="85" s="1"/>
  <c r="Q92" i="85"/>
  <c r="R92" i="85"/>
  <c r="AA13" i="86"/>
  <c r="AA70" i="86"/>
  <c r="R71" i="86"/>
  <c r="S71" i="86" s="1"/>
  <c r="Q71" i="86"/>
  <c r="Z71" i="86" s="1"/>
  <c r="R98" i="86"/>
  <c r="S98" i="86" s="1"/>
  <c r="S90" i="86" s="1"/>
  <c r="Q98" i="86"/>
  <c r="Z98" i="86" s="1"/>
  <c r="AA9" i="86"/>
  <c r="AB14" i="86"/>
  <c r="C128" i="86"/>
  <c r="X31" i="86"/>
  <c r="AA31" i="86" s="1"/>
  <c r="W31" i="86"/>
  <c r="Y31" i="86" s="1"/>
  <c r="AB31" i="86" s="1"/>
  <c r="AB70" i="86"/>
  <c r="Z75" i="86"/>
  <c r="Z73" i="86" s="1"/>
  <c r="Z91" i="86"/>
  <c r="Z90" i="86" s="1"/>
  <c r="AB99" i="86"/>
  <c r="L6" i="88"/>
  <c r="L128" i="88" s="1"/>
  <c r="M7" i="88"/>
  <c r="Q9" i="88"/>
  <c r="Z9" i="88" s="1"/>
  <c r="AD9" i="88"/>
  <c r="R33" i="88"/>
  <c r="S33" i="88" s="1"/>
  <c r="Q33" i="88"/>
  <c r="Z33" i="88" s="1"/>
  <c r="Q66" i="88"/>
  <c r="Z66" i="88" s="1"/>
  <c r="R66" i="88"/>
  <c r="S66" i="88" s="1"/>
  <c r="X24" i="85"/>
  <c r="X37" i="85"/>
  <c r="AA37" i="85" s="1"/>
  <c r="AD42" i="85"/>
  <c r="AD20" i="85" s="1"/>
  <c r="X58" i="85"/>
  <c r="AA58" i="85" s="1"/>
  <c r="W65" i="85"/>
  <c r="Y65" i="85" s="1"/>
  <c r="AB65" i="85" s="1"/>
  <c r="X66" i="85"/>
  <c r="AA66" i="85" s="1"/>
  <c r="X70" i="85"/>
  <c r="AA70" i="85" s="1"/>
  <c r="W103" i="85"/>
  <c r="Y103" i="85" s="1"/>
  <c r="AB103" i="85" s="1"/>
  <c r="AA112" i="85"/>
  <c r="AA119" i="85"/>
  <c r="W12" i="86"/>
  <c r="Y12" i="86" s="1"/>
  <c r="AB12" i="86" s="1"/>
  <c r="X12" i="86"/>
  <c r="AA12" i="86" s="1"/>
  <c r="Z14" i="86"/>
  <c r="V16" i="86"/>
  <c r="X18" i="86"/>
  <c r="AA18" i="86" s="1"/>
  <c r="W18" i="86"/>
  <c r="Y18" i="86" s="1"/>
  <c r="AB18" i="86" s="1"/>
  <c r="Z23" i="86"/>
  <c r="AA26" i="86"/>
  <c r="Z38" i="86"/>
  <c r="AA39" i="86"/>
  <c r="W67" i="86"/>
  <c r="Y67" i="86" s="1"/>
  <c r="AB67" i="86" s="1"/>
  <c r="X67" i="86"/>
  <c r="AA67" i="86" s="1"/>
  <c r="Q79" i="86"/>
  <c r="Z79" i="86" s="1"/>
  <c r="R79" i="86"/>
  <c r="S79" i="86" s="1"/>
  <c r="Z102" i="86"/>
  <c r="T6" i="88"/>
  <c r="V8" i="88"/>
  <c r="AD54" i="88"/>
  <c r="Q54" i="88"/>
  <c r="Z54" i="88" s="1"/>
  <c r="Q63" i="88"/>
  <c r="Z63" i="88" s="1"/>
  <c r="R63" i="88"/>
  <c r="S63" i="88" s="1"/>
  <c r="R105" i="85"/>
  <c r="S105" i="85" s="1"/>
  <c r="AD105" i="85" s="1"/>
  <c r="AD100" i="85" s="1"/>
  <c r="AD128" i="85" s="1"/>
  <c r="Q105" i="85"/>
  <c r="Z105" i="85" s="1"/>
  <c r="AA110" i="85"/>
  <c r="Q27" i="86"/>
  <c r="Z27" i="86" s="1"/>
  <c r="R27" i="86"/>
  <c r="S27" i="86" s="1"/>
  <c r="T46" i="86"/>
  <c r="V46" i="86" s="1"/>
  <c r="V57" i="86"/>
  <c r="Q66" i="86"/>
  <c r="Z66" i="86" s="1"/>
  <c r="R66" i="86"/>
  <c r="S66" i="86" s="1"/>
  <c r="S46" i="86" s="1"/>
  <c r="AA77" i="86"/>
  <c r="V79" i="86"/>
  <c r="T73" i="86"/>
  <c r="V73" i="86" s="1"/>
  <c r="W73" i="86" s="1"/>
  <c r="Y73" i="86" s="1"/>
  <c r="AB73" i="86" s="1"/>
  <c r="X7" i="88"/>
  <c r="W7" i="88"/>
  <c r="W24" i="88"/>
  <c r="Y24" i="88" s="1"/>
  <c r="AB24" i="88" s="1"/>
  <c r="X24" i="88"/>
  <c r="AA24" i="88" s="1"/>
  <c r="R50" i="88"/>
  <c r="S50" i="88" s="1"/>
  <c r="Q50" i="88"/>
  <c r="Z50" i="88" s="1"/>
  <c r="X53" i="88"/>
  <c r="AA53" i="88" s="1"/>
  <c r="W53" i="88"/>
  <c r="Y53" i="88" s="1"/>
  <c r="AB53" i="88" s="1"/>
  <c r="Q10" i="86"/>
  <c r="Z10" i="86" s="1"/>
  <c r="W11" i="86"/>
  <c r="W22" i="86"/>
  <c r="X24" i="86"/>
  <c r="AA24" i="86" s="1"/>
  <c r="W34" i="86"/>
  <c r="Y34" i="86" s="1"/>
  <c r="Q35" i="86"/>
  <c r="Z35" i="86" s="1"/>
  <c r="R38" i="86"/>
  <c r="S38" i="86" s="1"/>
  <c r="W40" i="86"/>
  <c r="Y40" i="86" s="1"/>
  <c r="AB40" i="86" s="1"/>
  <c r="W49" i="86"/>
  <c r="Y49" i="86" s="1"/>
  <c r="AB49" i="86" s="1"/>
  <c r="W51" i="86"/>
  <c r="Y51" i="86" s="1"/>
  <c r="AB51" i="86" s="1"/>
  <c r="Q52" i="86"/>
  <c r="Z52" i="86" s="1"/>
  <c r="Z46" i="86" s="1"/>
  <c r="Q57" i="86"/>
  <c r="Z57" i="86" s="1"/>
  <c r="W59" i="86"/>
  <c r="Y59" i="86" s="1"/>
  <c r="AB59" i="86" s="1"/>
  <c r="Q62" i="86"/>
  <c r="Z62" i="86" s="1"/>
  <c r="R70" i="86"/>
  <c r="S70" i="86" s="1"/>
  <c r="R84" i="86"/>
  <c r="S84" i="86" s="1"/>
  <c r="X86" i="86"/>
  <c r="AA86" i="86" s="1"/>
  <c r="X88" i="86"/>
  <c r="AA88" i="86" s="1"/>
  <c r="X93" i="86"/>
  <c r="W95" i="86"/>
  <c r="W101" i="86"/>
  <c r="Y101" i="86" s="1"/>
  <c r="AB101" i="86" s="1"/>
  <c r="R104" i="86"/>
  <c r="S104" i="86" s="1"/>
  <c r="AA116" i="86"/>
  <c r="X9" i="88"/>
  <c r="AA9" i="88" s="1"/>
  <c r="W9" i="88"/>
  <c r="Y9" i="88" s="1"/>
  <c r="AB9" i="88" s="1"/>
  <c r="K6" i="88"/>
  <c r="AA23" i="88"/>
  <c r="Q26" i="88"/>
  <c r="Z26" i="88" s="1"/>
  <c r="R26" i="88"/>
  <c r="S26" i="88" s="1"/>
  <c r="AD26" i="88"/>
  <c r="Z29" i="88"/>
  <c r="R47" i="88"/>
  <c r="S47" i="88" s="1"/>
  <c r="Q47" i="88"/>
  <c r="W49" i="88"/>
  <c r="Y49" i="88" s="1"/>
  <c r="AB49" i="88" s="1"/>
  <c r="X49" i="88"/>
  <c r="AA49" i="88" s="1"/>
  <c r="X54" i="88"/>
  <c r="AA54" i="88" s="1"/>
  <c r="W54" i="88"/>
  <c r="Y54" i="88" s="1"/>
  <c r="AB54" i="88" s="1"/>
  <c r="K46" i="88"/>
  <c r="K128" i="88" s="1"/>
  <c r="AA59" i="88"/>
  <c r="AB60" i="88"/>
  <c r="X83" i="88"/>
  <c r="AA83" i="88" s="1"/>
  <c r="W83" i="88"/>
  <c r="Y83" i="88" s="1"/>
  <c r="AB83" i="88" s="1"/>
  <c r="R94" i="88"/>
  <c r="S94" i="88" s="1"/>
  <c r="Q94" i="88"/>
  <c r="Z94" i="88" s="1"/>
  <c r="W107" i="88"/>
  <c r="V106" i="88"/>
  <c r="X107" i="88"/>
  <c r="AA114" i="86"/>
  <c r="AA120" i="86"/>
  <c r="P8" i="88"/>
  <c r="O6" i="88"/>
  <c r="O128" i="88" s="1"/>
  <c r="AB10" i="88"/>
  <c r="AD12" i="88"/>
  <c r="Q12" i="88"/>
  <c r="Z12" i="88" s="1"/>
  <c r="W26" i="88"/>
  <c r="Y26" i="88" s="1"/>
  <c r="AB26" i="88" s="1"/>
  <c r="X26" i="88"/>
  <c r="AA26" i="88" s="1"/>
  <c r="W46" i="88"/>
  <c r="Y46" i="88" s="1"/>
  <c r="AB46" i="88" s="1"/>
  <c r="X46" i="88"/>
  <c r="W47" i="88"/>
  <c r="Y47" i="88" s="1"/>
  <c r="AB47" i="88" s="1"/>
  <c r="X47" i="88"/>
  <c r="AA47" i="88" s="1"/>
  <c r="P48" i="88"/>
  <c r="O46" i="88"/>
  <c r="R56" i="88"/>
  <c r="S56" i="88" s="1"/>
  <c r="Q56" i="88"/>
  <c r="Z56" i="88" s="1"/>
  <c r="Q57" i="88"/>
  <c r="Z57" i="88" s="1"/>
  <c r="R57" i="88"/>
  <c r="S57" i="88" s="1"/>
  <c r="Q82" i="88"/>
  <c r="Z82" i="88" s="1"/>
  <c r="R82" i="88"/>
  <c r="S82" i="88" s="1"/>
  <c r="AB85" i="88"/>
  <c r="M91" i="88"/>
  <c r="M90" i="88" s="1"/>
  <c r="K90" i="88"/>
  <c r="Q104" i="88"/>
  <c r="R104" i="88"/>
  <c r="S104" i="88" s="1"/>
  <c r="AD104" i="88" s="1"/>
  <c r="AD12" i="89"/>
  <c r="Q12" i="89"/>
  <c r="Z12" i="89" s="1"/>
  <c r="R12" i="89"/>
  <c r="S12" i="89" s="1"/>
  <c r="V15" i="86"/>
  <c r="V6" i="86" s="1"/>
  <c r="W105" i="86"/>
  <c r="Y105" i="86" s="1"/>
  <c r="AB105" i="86" s="1"/>
  <c r="X105" i="86"/>
  <c r="AA105" i="86" s="1"/>
  <c r="AA100" i="86" s="1"/>
  <c r="AA118" i="86"/>
  <c r="AA10" i="88"/>
  <c r="X12" i="88"/>
  <c r="AA12" i="88" s="1"/>
  <c r="W12" i="88"/>
  <c r="Y12" i="88" s="1"/>
  <c r="AB12" i="88" s="1"/>
  <c r="W18" i="88"/>
  <c r="Y18" i="88" s="1"/>
  <c r="AB18" i="88" s="1"/>
  <c r="X18" i="88"/>
  <c r="AA18" i="88" s="1"/>
  <c r="R21" i="88"/>
  <c r="AD21" i="88"/>
  <c r="AD20" i="88" s="1"/>
  <c r="Q21" i="88"/>
  <c r="AB23" i="88"/>
  <c r="AA37" i="88"/>
  <c r="R53" i="88"/>
  <c r="S53" i="88" s="1"/>
  <c r="Q53" i="88"/>
  <c r="Z53" i="88" s="1"/>
  <c r="X55" i="88"/>
  <c r="AA55" i="88" s="1"/>
  <c r="W55" i="88"/>
  <c r="Y55" i="88" s="1"/>
  <c r="AB55" i="88" s="1"/>
  <c r="X67" i="88"/>
  <c r="AA67" i="88" s="1"/>
  <c r="W67" i="88"/>
  <c r="Y67" i="88" s="1"/>
  <c r="AB67" i="88" s="1"/>
  <c r="V79" i="88"/>
  <c r="T73" i="88"/>
  <c r="P98" i="88"/>
  <c r="N90" i="88"/>
  <c r="N128" i="88" s="1"/>
  <c r="O73" i="88"/>
  <c r="P78" i="88"/>
  <c r="W82" i="88"/>
  <c r="Y82" i="88" s="1"/>
  <c r="AB82" i="88" s="1"/>
  <c r="X82" i="88"/>
  <c r="AA82" i="88" s="1"/>
  <c r="AB88" i="88"/>
  <c r="AA96" i="88"/>
  <c r="AB97" i="88"/>
  <c r="X102" i="88"/>
  <c r="AA102" i="88" s="1"/>
  <c r="AA100" i="88" s="1"/>
  <c r="W102" i="88"/>
  <c r="Y102" i="88" s="1"/>
  <c r="AB102" i="88" s="1"/>
  <c r="Z103" i="88"/>
  <c r="AA22" i="89"/>
  <c r="AA20" i="89" s="1"/>
  <c r="AD16" i="88"/>
  <c r="AA85" i="88"/>
  <c r="X91" i="88"/>
  <c r="W91" i="88"/>
  <c r="AB94" i="88"/>
  <c r="AA97" i="88"/>
  <c r="P106" i="88"/>
  <c r="Q107" i="88"/>
  <c r="Z17" i="89"/>
  <c r="Q24" i="89"/>
  <c r="R24" i="89"/>
  <c r="X70" i="88"/>
  <c r="AA70" i="88" s="1"/>
  <c r="AA77" i="88"/>
  <c r="AB87" i="88"/>
  <c r="X94" i="88"/>
  <c r="AA94" i="88" s="1"/>
  <c r="Z97" i="88"/>
  <c r="AB104" i="88"/>
  <c r="AA119" i="88"/>
  <c r="AB24" i="89"/>
  <c r="X84" i="88"/>
  <c r="AA84" i="88" s="1"/>
  <c r="R17" i="89"/>
  <c r="S17" i="89" s="1"/>
  <c r="AA65" i="89"/>
  <c r="Z89" i="89"/>
  <c r="Z73" i="89" s="1"/>
  <c r="M90" i="89"/>
  <c r="M128" i="89" s="1"/>
  <c r="AB91" i="89"/>
  <c r="AB90" i="89" s="1"/>
  <c r="AB103" i="89"/>
  <c r="AA111" i="89"/>
  <c r="AA14" i="89"/>
  <c r="AA6" i="89" s="1"/>
  <c r="AA120" i="89"/>
  <c r="Q91" i="88"/>
  <c r="AA31" i="89"/>
  <c r="AB55" i="89"/>
  <c r="AB76" i="89"/>
  <c r="AA84" i="89"/>
  <c r="AA73" i="89" s="1"/>
  <c r="AA113" i="89"/>
  <c r="AB44" i="89"/>
  <c r="J128" i="89"/>
  <c r="AB43" i="89"/>
  <c r="AB53" i="89"/>
  <c r="AB59" i="89"/>
  <c r="AB84" i="89"/>
  <c r="AA88" i="89"/>
  <c r="F128" i="89"/>
  <c r="AB15" i="89"/>
  <c r="AB6" i="89" s="1"/>
  <c r="AA25" i="89"/>
  <c r="R54" i="89"/>
  <c r="S54" i="89" s="1"/>
  <c r="S46" i="89" s="1"/>
  <c r="R92" i="89"/>
  <c r="P106" i="89"/>
  <c r="P128" i="89" s="1"/>
  <c r="AA107" i="89"/>
  <c r="AA106" i="89" s="1"/>
  <c r="Q36" i="89"/>
  <c r="Z36" i="89" s="1"/>
  <c r="R60" i="89"/>
  <c r="S60" i="89" s="1"/>
  <c r="R65" i="89"/>
  <c r="S65" i="89" s="1"/>
  <c r="R88" i="89"/>
  <c r="S88" i="89" s="1"/>
  <c r="S73" i="89" s="1"/>
  <c r="AA99" i="89"/>
  <c r="AA90" i="89" s="1"/>
  <c r="M109" i="89"/>
  <c r="AA109" i="89" s="1"/>
  <c r="S92" i="89" l="1"/>
  <c r="S90" i="89" s="1"/>
  <c r="R90" i="89"/>
  <c r="Y22" i="86"/>
  <c r="W20" i="86"/>
  <c r="Z107" i="88"/>
  <c r="Z106" i="88" s="1"/>
  <c r="Q106" i="88"/>
  <c r="X16" i="86"/>
  <c r="AA16" i="86" s="1"/>
  <c r="W16" i="86"/>
  <c r="Y16" i="86" s="1"/>
  <c r="AB16" i="86" s="1"/>
  <c r="AB27" i="80"/>
  <c r="O26" i="81"/>
  <c r="N101" i="81"/>
  <c r="AD103" i="80"/>
  <c r="AD101" i="80" s="1"/>
  <c r="AD129" i="80" s="1"/>
  <c r="S44" i="85"/>
  <c r="S20" i="85" s="1"/>
  <c r="R20" i="85"/>
  <c r="O68" i="81"/>
  <c r="AB70" i="80"/>
  <c r="N61" i="81"/>
  <c r="N62" i="81"/>
  <c r="X101" i="80"/>
  <c r="V129" i="80"/>
  <c r="W101" i="80"/>
  <c r="S46" i="80"/>
  <c r="AB17" i="80"/>
  <c r="O16" i="81"/>
  <c r="O13" i="81"/>
  <c r="AB14" i="80"/>
  <c r="S20" i="86"/>
  <c r="AD103" i="88"/>
  <c r="AD100" i="88" s="1"/>
  <c r="S100" i="88"/>
  <c r="Z91" i="88"/>
  <c r="S24" i="89"/>
  <c r="S20" i="89" s="1"/>
  <c r="R20" i="89"/>
  <c r="X90" i="88"/>
  <c r="AA91" i="88"/>
  <c r="AA90" i="88" s="1"/>
  <c r="R78" i="88"/>
  <c r="S78" i="88" s="1"/>
  <c r="S73" i="88" s="1"/>
  <c r="Q78" i="88"/>
  <c r="P73" i="88"/>
  <c r="R73" i="88" s="1"/>
  <c r="V73" i="88"/>
  <c r="W73" i="88" s="1"/>
  <c r="Y73" i="88" s="1"/>
  <c r="AB73" i="88" s="1"/>
  <c r="T128" i="88"/>
  <c r="S21" i="88"/>
  <c r="S20" i="88" s="1"/>
  <c r="R20" i="88"/>
  <c r="AD8" i="88"/>
  <c r="AD6" i="88" s="1"/>
  <c r="Q8" i="88"/>
  <c r="R8" i="88"/>
  <c r="S8" i="88" s="1"/>
  <c r="AD104" i="86"/>
  <c r="AD100" i="86" s="1"/>
  <c r="AD128" i="86" s="1"/>
  <c r="S100" i="86"/>
  <c r="Y11" i="86"/>
  <c r="Y7" i="88"/>
  <c r="X46" i="86"/>
  <c r="W46" i="86"/>
  <c r="Y46" i="86" s="1"/>
  <c r="AB46" i="86" s="1"/>
  <c r="Z20" i="86"/>
  <c r="AA24" i="85"/>
  <c r="AA20" i="85" s="1"/>
  <c r="X20" i="85"/>
  <c r="S92" i="85"/>
  <c r="S90" i="85" s="1"/>
  <c r="R90" i="85"/>
  <c r="Z74" i="85"/>
  <c r="Z73" i="85" s="1"/>
  <c r="Q73" i="85"/>
  <c r="Y27" i="85"/>
  <c r="W20" i="85"/>
  <c r="S46" i="85"/>
  <c r="AA21" i="88"/>
  <c r="AA20" i="88" s="1"/>
  <c r="X20" i="88"/>
  <c r="AA10" i="80"/>
  <c r="AA6" i="80" s="1"/>
  <c r="X6" i="80"/>
  <c r="Z109" i="80"/>
  <c r="AA109" i="80"/>
  <c r="R90" i="86"/>
  <c r="R30" i="80"/>
  <c r="S30" i="80" s="1"/>
  <c r="N29" i="81" s="1"/>
  <c r="Q30" i="80"/>
  <c r="Z30" i="80" s="1"/>
  <c r="Z102" i="80"/>
  <c r="Z101" i="80" s="1"/>
  <c r="Q101" i="80"/>
  <c r="S102" i="80"/>
  <c r="S7" i="88"/>
  <c r="S6" i="88" s="1"/>
  <c r="R6" i="88"/>
  <c r="Q73" i="86"/>
  <c r="W6" i="85"/>
  <c r="N20" i="81"/>
  <c r="Q46" i="86"/>
  <c r="S100" i="85"/>
  <c r="P128" i="86"/>
  <c r="AA46" i="89"/>
  <c r="AA128" i="89" s="1"/>
  <c r="Y21" i="80"/>
  <c r="W20" i="80"/>
  <c r="Z6" i="89"/>
  <c r="X79" i="86"/>
  <c r="W79" i="86"/>
  <c r="Y79" i="86" s="1"/>
  <c r="AB79" i="86" s="1"/>
  <c r="Z92" i="85"/>
  <c r="Z90" i="85" s="1"/>
  <c r="Q90" i="85"/>
  <c r="S73" i="85"/>
  <c r="Z48" i="85"/>
  <c r="Z46" i="85" s="1"/>
  <c r="Q46" i="85"/>
  <c r="Z7" i="86"/>
  <c r="Z6" i="86" s="1"/>
  <c r="Q6" i="86"/>
  <c r="R102" i="80"/>
  <c r="P101" i="80"/>
  <c r="AA91" i="80"/>
  <c r="AB91" i="80"/>
  <c r="Z91" i="80"/>
  <c r="Q100" i="85"/>
  <c r="Q128" i="85" s="1"/>
  <c r="O72" i="81"/>
  <c r="X73" i="85"/>
  <c r="V128" i="86"/>
  <c r="O45" i="81"/>
  <c r="S6" i="89"/>
  <c r="AB24" i="80"/>
  <c r="O23" i="81"/>
  <c r="T128" i="86"/>
  <c r="Q6" i="89"/>
  <c r="AB100" i="88"/>
  <c r="AB128" i="89"/>
  <c r="W90" i="88"/>
  <c r="Y91" i="88"/>
  <c r="Q98" i="88"/>
  <c r="Z98" i="88" s="1"/>
  <c r="P90" i="88"/>
  <c r="R98" i="88"/>
  <c r="S98" i="88" s="1"/>
  <c r="S90" i="88" s="1"/>
  <c r="X106" i="88"/>
  <c r="AA107" i="88"/>
  <c r="AA106" i="88" s="1"/>
  <c r="AA93" i="86"/>
  <c r="AA90" i="86" s="1"/>
  <c r="X90" i="86"/>
  <c r="X57" i="86"/>
  <c r="AA57" i="86" s="1"/>
  <c r="AA46" i="86" s="1"/>
  <c r="W57" i="86"/>
  <c r="Y57" i="86" s="1"/>
  <c r="AB57" i="86" s="1"/>
  <c r="M6" i="88"/>
  <c r="M128" i="88" s="1"/>
  <c r="Z7" i="88"/>
  <c r="W20" i="88"/>
  <c r="Y21" i="88"/>
  <c r="S8" i="86"/>
  <c r="S6" i="86" s="1"/>
  <c r="R6" i="86"/>
  <c r="Y10" i="80"/>
  <c r="W6" i="80"/>
  <c r="Q46" i="80"/>
  <c r="Z51" i="80"/>
  <c r="Z46" i="80" s="1"/>
  <c r="Z128" i="86"/>
  <c r="R20" i="80"/>
  <c r="Z24" i="89"/>
  <c r="Z20" i="89" s="1"/>
  <c r="Z128" i="89" s="1"/>
  <c r="Q20" i="89"/>
  <c r="Q128" i="89" s="1"/>
  <c r="W79" i="88"/>
  <c r="Y79" i="88" s="1"/>
  <c r="AB79" i="88" s="1"/>
  <c r="X79" i="88"/>
  <c r="X15" i="86"/>
  <c r="AA15" i="86" s="1"/>
  <c r="AA6" i="86" s="1"/>
  <c r="W15" i="86"/>
  <c r="Y15" i="86" s="1"/>
  <c r="AB15" i="86" s="1"/>
  <c r="R48" i="88"/>
  <c r="S48" i="88" s="1"/>
  <c r="P46" i="88"/>
  <c r="Q48" i="88"/>
  <c r="Z48" i="88" s="1"/>
  <c r="W106" i="88"/>
  <c r="Y107" i="88"/>
  <c r="Z47" i="88"/>
  <c r="Q46" i="88"/>
  <c r="AA7" i="88"/>
  <c r="Z21" i="88"/>
  <c r="Z20" i="88" s="1"/>
  <c r="Q20" i="88"/>
  <c r="Z104" i="88"/>
  <c r="Z100" i="88" s="1"/>
  <c r="Q100" i="88"/>
  <c r="AA46" i="88"/>
  <c r="S46" i="88"/>
  <c r="Y95" i="86"/>
  <c r="W90" i="86"/>
  <c r="AA20" i="86"/>
  <c r="W8" i="88"/>
  <c r="Y8" i="88" s="1"/>
  <c r="AB8" i="88" s="1"/>
  <c r="V6" i="88"/>
  <c r="V128" i="88" s="1"/>
  <c r="X8" i="88"/>
  <c r="AA8" i="88" s="1"/>
  <c r="AB6" i="86"/>
  <c r="Q20" i="80"/>
  <c r="Z25" i="80"/>
  <c r="Z20" i="80" s="1"/>
  <c r="R78" i="80"/>
  <c r="S78" i="80" s="1"/>
  <c r="P74" i="80"/>
  <c r="R74" i="80" s="1"/>
  <c r="Q78" i="80"/>
  <c r="O27" i="81"/>
  <c r="AB28" i="80"/>
  <c r="X20" i="86"/>
  <c r="AB105" i="80"/>
  <c r="O103" i="81"/>
  <c r="O99" i="81" s="1"/>
  <c r="AA46" i="80"/>
  <c r="O14" i="81"/>
  <c r="AB15" i="80"/>
  <c r="N45" i="81"/>
  <c r="Z100" i="85"/>
  <c r="Z128" i="85" s="1"/>
  <c r="Q90" i="86"/>
  <c r="AD6" i="89"/>
  <c r="AD128" i="89" s="1"/>
  <c r="Q20" i="86"/>
  <c r="Q128" i="86" s="1"/>
  <c r="M6" i="80"/>
  <c r="M129" i="80" s="1"/>
  <c r="AB8" i="80"/>
  <c r="Z8" i="80"/>
  <c r="Z6" i="80" s="1"/>
  <c r="R20" i="86"/>
  <c r="R128" i="86" s="1"/>
  <c r="X20" i="80"/>
  <c r="AA21" i="80"/>
  <c r="AA20" i="80" s="1"/>
  <c r="AA129" i="80" s="1"/>
  <c r="AA46" i="85"/>
  <c r="Y128" i="89"/>
  <c r="R6" i="89"/>
  <c r="Y90" i="86" l="1"/>
  <c r="AB95" i="86"/>
  <c r="AB90" i="86" s="1"/>
  <c r="X6" i="88"/>
  <c r="AB107" i="88"/>
  <c r="AB106" i="88" s="1"/>
  <c r="Y106" i="88"/>
  <c r="O9" i="81"/>
  <c r="O5" i="81" s="1"/>
  <c r="AB10" i="80"/>
  <c r="AB6" i="80" s="1"/>
  <c r="Y6" i="80"/>
  <c r="W128" i="88"/>
  <c r="AB91" i="88"/>
  <c r="AB90" i="88" s="1"/>
  <c r="Y90" i="88"/>
  <c r="O20" i="81"/>
  <c r="O19" i="81" s="1"/>
  <c r="O107" i="81" s="1"/>
  <c r="Y20" i="80"/>
  <c r="AB21" i="80"/>
  <c r="AB20" i="80" s="1"/>
  <c r="S20" i="80"/>
  <c r="Z129" i="80"/>
  <c r="X128" i="88"/>
  <c r="AB27" i="85"/>
  <c r="AB20" i="85" s="1"/>
  <c r="AB128" i="85" s="1"/>
  <c r="Y20" i="85"/>
  <c r="Y128" i="85" s="1"/>
  <c r="W6" i="86"/>
  <c r="Z78" i="88"/>
  <c r="Z73" i="88" s="1"/>
  <c r="Q73" i="88"/>
  <c r="Q90" i="88"/>
  <c r="X129" i="80"/>
  <c r="W128" i="86"/>
  <c r="Z78" i="80"/>
  <c r="Z74" i="80" s="1"/>
  <c r="Q74" i="80"/>
  <c r="AA6" i="88"/>
  <c r="AA128" i="88" s="1"/>
  <c r="R90" i="88"/>
  <c r="AA79" i="86"/>
  <c r="AA73" i="86" s="1"/>
  <c r="AA128" i="86" s="1"/>
  <c r="X73" i="86"/>
  <c r="X128" i="86" s="1"/>
  <c r="S128" i="85"/>
  <c r="N19" i="81"/>
  <c r="X128" i="85"/>
  <c r="Y6" i="86"/>
  <c r="Z8" i="88"/>
  <c r="Z6" i="88" s="1"/>
  <c r="Q6" i="88"/>
  <c r="R128" i="89"/>
  <c r="S128" i="88"/>
  <c r="AB22" i="86"/>
  <c r="AB20" i="86" s="1"/>
  <c r="AB128" i="86" s="1"/>
  <c r="Y20" i="86"/>
  <c r="R101" i="80"/>
  <c r="R129" i="80" s="1"/>
  <c r="P129" i="80"/>
  <c r="X6" i="86"/>
  <c r="S101" i="80"/>
  <c r="N100" i="81"/>
  <c r="N99" i="81" s="1"/>
  <c r="AA128" i="85"/>
  <c r="W6" i="88"/>
  <c r="S128" i="86"/>
  <c r="S128" i="89"/>
  <c r="AD128" i="88"/>
  <c r="W129" i="80"/>
  <c r="Y101" i="80"/>
  <c r="R128" i="85"/>
  <c r="N76" i="81"/>
  <c r="N72" i="81" s="1"/>
  <c r="S74" i="80"/>
  <c r="Q128" i="88"/>
  <c r="Z46" i="88"/>
  <c r="R46" i="88"/>
  <c r="R128" i="88" s="1"/>
  <c r="P128" i="88"/>
  <c r="AA79" i="88"/>
  <c r="AA73" i="88" s="1"/>
  <c r="X73" i="88"/>
  <c r="AB21" i="88"/>
  <c r="AB20" i="88" s="1"/>
  <c r="AB128" i="88" s="1"/>
  <c r="Y20" i="88"/>
  <c r="Q129" i="80"/>
  <c r="W128" i="85"/>
  <c r="Y6" i="88"/>
  <c r="AB7" i="88"/>
  <c r="AB6" i="88" s="1"/>
  <c r="Z90" i="88"/>
  <c r="Z128" i="88" l="1"/>
  <c r="N107" i="81"/>
  <c r="AB101" i="80"/>
  <c r="AB129" i="80" s="1"/>
  <c r="Y129" i="80"/>
  <c r="S129" i="80"/>
  <c r="Y128" i="86"/>
  <c r="Y128" i="88"/>
</calcChain>
</file>

<file path=xl/comments1.xml><?xml version="1.0" encoding="utf-8"?>
<comments xmlns="http://schemas.openxmlformats.org/spreadsheetml/2006/main">
  <authors>
    <author>nat</author>
    <author>Laksamee.k</author>
  </authors>
  <commentList>
    <comment ref="C3" authorId="0" shapeId="0">
      <text>
        <r>
          <rPr>
            <b/>
            <sz val="12"/>
            <color indexed="81"/>
            <rFont val="Tahoma"/>
            <family val="2"/>
          </rPr>
          <t xml:space="preserve">หน่วยงานทบทวนข้อมูล 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* ข้อมูลแผนเดิม ปี 64
</t>
        </r>
        <r>
          <rPr>
            <b/>
            <sz val="11"/>
            <color indexed="81"/>
            <rFont val="Tahoma"/>
            <family val="2"/>
          </rPr>
          <t xml:space="preserve">
รวมตำแหน่งนักวิชาการศึกษา (ปฏิบัติงานสอน) </t>
        </r>
      </text>
    </comment>
    <comment ref="L3" authorId="1" shapeId="0">
      <text>
        <r>
          <rPr>
            <sz val="12"/>
            <color indexed="81"/>
            <rFont val="Tahoma"/>
            <family val="2"/>
          </rPr>
          <t xml:space="preserve">
หน่วยงานบันทึกข้อมูล ทบทวนจากข้อมูลเดิมปี 64 </t>
        </r>
      </text>
    </comment>
    <comment ref="M3" authorId="1" shapeId="0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ไม่ต้องบันทึกข้อมูล
(3.1) - (4)</t>
        </r>
      </text>
    </comment>
    <comment ref="Q3" authorId="0" shapeId="0">
      <text>
        <r>
          <rPr>
            <b/>
            <sz val="10"/>
            <color indexed="81"/>
            <rFont val="Tahoma"/>
            <family val="2"/>
          </rPr>
          <t>=FTES รวมทุกระดับ
   หารด้วย
   อัตราส่วนอาจารย์ต่อนักศึกษา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Y3" authorId="0" shapeId="0">
      <text>
        <r>
          <rPr>
            <b/>
            <sz val="14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AC3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ไม่ต้องบันทึกข้อมูล </t>
        </r>
      </text>
    </comment>
    <comment ref="AD3" authorId="1" shapeId="0">
      <text>
        <r>
          <rPr>
            <sz val="14"/>
            <color indexed="81"/>
            <rFont val="Tahoma"/>
            <family val="2"/>
          </rPr>
          <t>ไม่ต้องบันทึกข้อมูล</t>
        </r>
      </text>
    </comment>
    <comment ref="AE3" authorId="1" shapeId="0">
      <text>
        <r>
          <rPr>
            <sz val="14"/>
            <color indexed="81"/>
            <rFont val="Tahoma"/>
            <family val="2"/>
          </rPr>
          <t xml:space="preserve">บันทึกข้อมูล ทบทวนจากข้อมูลเดิมปี 64 หรือใช้ข้อมูลจากกองบริหารงานบุคคล </t>
        </r>
      </text>
    </comment>
    <comment ref="AJ3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บันทึกข้อมูลที่เสนอขอ และบันทึกเหตุผลในช่อง 14 </t>
        </r>
      </text>
    </comment>
    <comment ref="AO3" authorId="1" shapeId="0">
      <text>
        <r>
          <rPr>
            <b/>
            <sz val="12"/>
            <color indexed="81"/>
            <rFont val="Tahoma"/>
            <family val="2"/>
          </rPr>
          <t>หากบันทึกข้อมูล</t>
        </r>
        <r>
          <rPr>
            <sz val="12"/>
            <color indexed="81"/>
            <rFont val="Tahoma"/>
            <family val="2"/>
          </rPr>
          <t xml:space="preserve"> อัตรากำลังที่เสนอขอ บันทึกเหตุผลความจำเป็น และเกณฑ์ที่ใช้พิจารณา </t>
        </r>
      </text>
    </comment>
    <comment ref="N4" authorId="1" shapeId="0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บันทึกข้อมูล ตามข้อมูลของส่งเสริมฯ
</t>
        </r>
      </text>
    </comment>
    <comment ref="O4" authorId="1" shapeId="0">
      <text>
        <r>
          <rPr>
            <sz val="9"/>
            <color indexed="81"/>
            <rFont val="Tahoma"/>
            <family val="2"/>
          </rPr>
          <t>Laksamee.k:
บันทึกข้อมูล ตามข้อมูลของส่งเสริมฯ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
     หารด้วย 20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 หารด้วย 12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</commentList>
</comments>
</file>

<file path=xl/comments2.xml><?xml version="1.0" encoding="utf-8"?>
<comments xmlns="http://schemas.openxmlformats.org/spreadsheetml/2006/main">
  <authors>
    <author>nat</author>
    <author>Laksamee.k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M3" authorId="1" shapeId="0">
      <text>
        <r>
          <rPr>
            <b/>
            <sz val="9"/>
            <color indexed="81"/>
            <rFont val="Tahoma"/>
            <charset val="222"/>
          </rPr>
          <t>Laksamee.k:</t>
        </r>
        <r>
          <rPr>
            <sz val="9"/>
            <color indexed="81"/>
            <rFont val="Tahoma"/>
            <charset val="222"/>
          </rPr>
          <t xml:space="preserve">
(3.1) - (4)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
     หารด้วย 20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 หารด้วย 12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</commentList>
</comments>
</file>

<file path=xl/comments3.xml><?xml version="1.0" encoding="utf-8"?>
<comments xmlns="http://schemas.openxmlformats.org/spreadsheetml/2006/main">
  <authors>
    <author>nat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
     หารด้วย 20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 หารด้วย 12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</commentList>
</comments>
</file>

<file path=xl/comments4.xml><?xml version="1.0" encoding="utf-8"?>
<comments xmlns="http://schemas.openxmlformats.org/spreadsheetml/2006/main">
  <authors>
    <author>nat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
     หารด้วย 20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 หารด้วย 12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</commentList>
</comments>
</file>

<file path=xl/comments5.xml><?xml version="1.0" encoding="utf-8"?>
<comments xmlns="http://schemas.openxmlformats.org/spreadsheetml/2006/main">
  <authors>
    <author>nat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</commentList>
</comments>
</file>

<file path=xl/comments6.xml><?xml version="1.0" encoding="utf-8"?>
<comments xmlns="http://schemas.openxmlformats.org/spreadsheetml/2006/main">
  <authors>
    <author>nat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</commentList>
</comments>
</file>

<file path=xl/comments7.xml><?xml version="1.0" encoding="utf-8"?>
<comments xmlns="http://schemas.openxmlformats.org/spreadsheetml/2006/main">
  <authors>
    <author>nat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รวมตำแหน่งนักวิชาการศึกษา (ปฏิบัติงานสอน) 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=FTES รวมทุกระดับ
   หารด้วย
   อัตราส่วนอาจารย์ต่อนิสิต 
   ตามเกณฑ์มาตรฐาน ในคู่มือประกัน
   คุณภาพการศึกษาภายในสถานศึกษา 
   ระดับอุดมศึกษาของสำนักงาน
   คณะกรรมการการอุดมศึกษา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=Teching Load 
   ป.ตรี+บัณฑิตศึกษา
   หารด้วย
    จำนวนบุคลากรรวม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
     หารด้วย 20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= (รวมชั่วโมงบรรยายทั้งปีการศึกษา + รวมชั่วโมงปฏิบัติทั้งปีการศึกษา) หารด้วย 12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ถ้าตัวเลขติดลบแสดงว่าไม่ขาดแคลน</t>
        </r>
      </text>
    </comment>
  </commentList>
</comments>
</file>

<file path=xl/sharedStrings.xml><?xml version="1.0" encoding="utf-8"?>
<sst xmlns="http://schemas.openxmlformats.org/spreadsheetml/2006/main" count="11534" uniqueCount="373">
  <si>
    <t>รวม</t>
  </si>
  <si>
    <t>ข้าราชการ</t>
  </si>
  <si>
    <t>พนักงาน</t>
  </si>
  <si>
    <t xml:space="preserve">ปริญญา
ตรีและ
ต่ำกว่า
</t>
  </si>
  <si>
    <t>FTES</t>
  </si>
  <si>
    <t>ศ.</t>
  </si>
  <si>
    <t>รศ.</t>
  </si>
  <si>
    <t>ผศ.</t>
  </si>
  <si>
    <t>อ.</t>
  </si>
  <si>
    <t xml:space="preserve">FTES 
ปริญญาตรี
และต่ำกว่า
</t>
  </si>
  <si>
    <t>คณิตศาสตร์</t>
  </si>
  <si>
    <t>เคมี</t>
  </si>
  <si>
    <t>รัฐศาสตร์</t>
  </si>
  <si>
    <t>FTES 
บัณฑิตศึกษา
ปรับค่าเป็นปริญญาตรี</t>
  </si>
  <si>
    <t>รวม
FTES
ทุกระดับ</t>
  </si>
  <si>
    <t>ส.ด.</t>
  </si>
  <si>
    <t>ส.ม.</t>
  </si>
  <si>
    <t>ส.บ.</t>
  </si>
  <si>
    <t>ปร.ด.</t>
  </si>
  <si>
    <t>ค.ม.</t>
  </si>
  <si>
    <t>ศศ.ม.</t>
  </si>
  <si>
    <t>ค.บ.</t>
  </si>
  <si>
    <t>ศป.บ.</t>
  </si>
  <si>
    <t>น.บ.</t>
  </si>
  <si>
    <t>ศศ.บ.</t>
  </si>
  <si>
    <t>รป.บ.</t>
  </si>
  <si>
    <t xml:space="preserve"> </t>
  </si>
  <si>
    <t>วท.บ.</t>
  </si>
  <si>
    <t>บัณฑิต
ศึกษา</t>
  </si>
  <si>
    <t>รวม
วิธี สกอ.
ทุกระดับ</t>
  </si>
  <si>
    <t>ศ.บ.</t>
  </si>
  <si>
    <t>บธ.บ.</t>
  </si>
  <si>
    <t>บธ.ม.</t>
  </si>
  <si>
    <t>นศ.บ.</t>
  </si>
  <si>
    <t>วศ.บ.</t>
  </si>
  <si>
    <t>อส.บ.</t>
  </si>
  <si>
    <t>สถ.บ.</t>
  </si>
  <si>
    <t>ค.อ.บ.</t>
  </si>
  <si>
    <t>-</t>
  </si>
  <si>
    <t>บธ.ด.</t>
  </si>
  <si>
    <t>ศศ.บ. (ภาษาอังกฤษ)</t>
  </si>
  <si>
    <t>ศศ.บ. (ภาษาอังกฤษธุรกิจ)</t>
  </si>
  <si>
    <t>วท.บ. (เทคโนโลยีสารสนเทศ)</t>
  </si>
  <si>
    <t>วท.บ. (ระบบสารสนเทศเพื่อการจัดการ)</t>
  </si>
  <si>
    <t>1.1 หลักสูตรและการสอน</t>
  </si>
  <si>
    <t>1. คณะครุศาสตร์</t>
  </si>
  <si>
    <t>1.2 การศึกษาปฐมวัย</t>
  </si>
  <si>
    <t>1.3 สาขาวิชาการศึกษาพิเศษ</t>
  </si>
  <si>
    <t>1.4 จิตวิทยาและการแนะแนว</t>
  </si>
  <si>
    <t>1.5 เทคโนโลยีและนวัตกรรมการศึกษา</t>
  </si>
  <si>
    <t>1.6 บริหารการศึกษา</t>
  </si>
  <si>
    <t>1.7 พลศึกษา</t>
  </si>
  <si>
    <t>1.8 วัดผลการศึกษา</t>
  </si>
  <si>
    <t>1.9 ป.บัณฑิต</t>
  </si>
  <si>
    <t>2. คณะมนุษยศาสตร์และสังคมศาสตร์</t>
  </si>
  <si>
    <t>2.1 ดนตรีศึกษา</t>
  </si>
  <si>
    <t>2.2 ทัศนศิลป์</t>
  </si>
  <si>
    <t>2.3 นาฏศิลป์</t>
  </si>
  <si>
    <t>2.4 นิติศาสตร์</t>
  </si>
  <si>
    <t>2.5 บรรณารักษ์ฯ</t>
  </si>
  <si>
    <t>2.6 สังคมศึกษา</t>
  </si>
  <si>
    <t>2.7 ปรัชญาและศาสนา</t>
  </si>
  <si>
    <t>2.8 ภาษาจีน</t>
  </si>
  <si>
    <t>2.9 ภาษาญี่ปุ่น</t>
  </si>
  <si>
    <t>2.10 ภาษาไทย</t>
  </si>
  <si>
    <t>2.11 ภาษาฝรั่งเศส</t>
  </si>
  <si>
    <t xml:space="preserve">2.12 ภาษาอังกฤษ </t>
  </si>
  <si>
    <t>2.13 รัฐประศาสนศาสตร์</t>
  </si>
  <si>
    <t>2.14 ศิลปศึกษา</t>
  </si>
  <si>
    <t>2.15 ออกแบบนิเทศศิลป์</t>
  </si>
  <si>
    <t xml:space="preserve">2.16 พัฒนาสังคม </t>
  </si>
  <si>
    <t>3. คณะวิทยาศาสตร์และเทคโนโลยี</t>
  </si>
  <si>
    <t>3.1 เกษตรศาสตร์</t>
  </si>
  <si>
    <t xml:space="preserve">3.2 คณิตศาสตร์และสถิติประยุกต์ </t>
  </si>
  <si>
    <t xml:space="preserve">3.3 เคมี </t>
  </si>
  <si>
    <t>3.4 ชีววิทยา</t>
  </si>
  <si>
    <t>3.5 ฟิสิกส์และวิทยาศาสตร์ทั่วไป</t>
  </si>
  <si>
    <t>3.6 คหกรรมศาสตร์</t>
  </si>
  <si>
    <t>3.7 วิทยาการสารสนเทศ</t>
  </si>
  <si>
    <t>3.8 วิทยาศาสตร์สิ่งแวดล้อม</t>
  </si>
  <si>
    <t>3.9 วิทยาศาสตร์และเทคโนโลยีการอาหาร</t>
  </si>
  <si>
    <t>3.10 วิทยาศาสตร์การออกกำลังกาย</t>
  </si>
  <si>
    <t>3.11 คอมพิวเตอร์ศึกษา</t>
  </si>
  <si>
    <t>3.12 ภูมิสารสนเทศ</t>
  </si>
  <si>
    <t>3.13 เทคนิคการสัตวแพทย์</t>
  </si>
  <si>
    <t>4. คณะวิทยาการจัดการ</t>
  </si>
  <si>
    <t>4.1 นิเทศศาสตร์</t>
  </si>
  <si>
    <t>4.2 การตลาด</t>
  </si>
  <si>
    <t>4.3 ป. การเงินและการธนาคาร</t>
  </si>
  <si>
    <t>4.4 การจัดการ</t>
  </si>
  <si>
    <t>4.5 การบัญชี</t>
  </si>
  <si>
    <t>4.6 คอมพิวเตอร์ธุรกิจ</t>
  </si>
  <si>
    <t>4.7 การจัดการทรัพยากรมนุษย์</t>
  </si>
  <si>
    <t>4.8 เศรษฐศาสตร์</t>
  </si>
  <si>
    <t>4.9 อุตสาหกรรมท่องเที่ยวฯ</t>
  </si>
  <si>
    <t xml:space="preserve">5. คณะเทคโนโลยีอุตสาหกรรม </t>
  </si>
  <si>
    <t>5.1 สาขาวิชาวิศวกรรมการก่อสร้าง</t>
  </si>
  <si>
    <t>5.2 สาขาวิชานวัตกรรมเซรามิกส์</t>
  </si>
  <si>
    <t>5.3 สถาปัตยกรรม</t>
  </si>
  <si>
    <t>5.4 อิเล็กทรอนิกส์และโทรคมนาคม</t>
  </si>
  <si>
    <t>5.5 การจัดการอุตสากรรม</t>
  </si>
  <si>
    <t>5.6 ออกแบบผลิตภัณฑ์อุตสาหกรรม</t>
  </si>
  <si>
    <t>5.7 สาขาวิชาอุตสาหกรรมศิลป์</t>
  </si>
  <si>
    <t>5.8 สาขาวิชาวิศวกรรมการจัดการอุตสาหกรรม</t>
  </si>
  <si>
    <t xml:space="preserve">5.9 สาขาวิชาวิศกรรมไฟฟ้าอุตสาหรรม </t>
  </si>
  <si>
    <t>6. คณะสาธารณสุขศาสตร์</t>
  </si>
  <si>
    <t>6.1 สาธารณสุขชุมชน</t>
  </si>
  <si>
    <t>6.2 อาชีวอนามัยและความปลอดภัย</t>
  </si>
  <si>
    <t>6.3 อนามัยสิ่งแวดล้อม</t>
  </si>
  <si>
    <t xml:space="preserve">7. คณะพยาบาลศาสตร์ </t>
  </si>
  <si>
    <t>ปร.ด.(การจัดการภาครัฐและภาคเอกชน)</t>
  </si>
  <si>
    <t>รป.ม.   (รัฐประศาสนศาสตร์)</t>
  </si>
  <si>
    <t>ค.ม. (คณิตศาสตรศึกษา)</t>
  </si>
  <si>
    <t>วท.บ.  (สถิติประยุกต์)</t>
  </si>
  <si>
    <t>ค.บ. (คณิตศาสตร์)</t>
  </si>
  <si>
    <t>วท.บ. (ฟิสิกส์)</t>
  </si>
  <si>
    <t>ค.บ.  (ฟิสิกส์)</t>
  </si>
  <si>
    <t>วท.บ. (วิทยาการคอมพิวเตอร์)</t>
  </si>
  <si>
    <t>ปร.ด. (เทคโนโลยีการจัดการสิ่งแวดล้อม)</t>
  </si>
  <si>
    <t>วท.ม. (เทคโนโลยีการจัดการสิ่งแวดล้อม)</t>
  </si>
  <si>
    <t>วท.บ. (วิทยาศาสตร์สิ่งแวดล้อม)</t>
  </si>
  <si>
    <t>ค.บ. (วิทยาศาสตร์ทั่วไป)</t>
  </si>
  <si>
    <t xml:space="preserve">วท.ม. (วิทยาศาสตรศึกษา) ** </t>
  </si>
  <si>
    <t>ปจบ.ใช้อัตรากำลังของคณะอื่น</t>
  </si>
  <si>
    <t>อส.บ. (ต่อเนื่อง)</t>
  </si>
  <si>
    <t>ภาระสอน</t>
  </si>
  <si>
    <t>ภาระสอน2</t>
  </si>
  <si>
    <t>*เกษียณ 2 อัตราแต่เกลี่ย ค.ม. มา</t>
  </si>
  <si>
    <t>ศศ.ม. (การพัฒนาศักยภาพมนุษย์)</t>
  </si>
  <si>
    <t>*อ.หลักสูตร 1 ยืมอัตราคณะอื่น 2</t>
  </si>
  <si>
    <t>*เกษียณแต่ยังเพียงพอ</t>
  </si>
  <si>
    <t>* เกษียณแต่เกลี่ยมา</t>
  </si>
  <si>
    <t>*teaching load วิชาศึกษาทั่วไป</t>
  </si>
  <si>
    <t xml:space="preserve">*เกษียณ 68 แต่แนวโน้มอาจน้อยละ </t>
  </si>
  <si>
    <t>* เกลี่ยอัตรากำลัง ในทางปฏิบัติ</t>
  </si>
  <si>
    <t>* 1. ผู้รับผิดชอบหลักสูตรหาย  
2. FTES ยังขาดแคลน</t>
  </si>
  <si>
    <t>* FTES 1:8 แต่ตามเกณฑ์อื่นยังเพียงพอ</t>
  </si>
  <si>
    <t>* เกษียณ 2 แต่ยังเพียงพอ</t>
  </si>
  <si>
    <t>* รายชื่ออ.รับผิดชอบหลักสูตร คนเดียวกัน</t>
  </si>
  <si>
    <t>****</t>
  </si>
  <si>
    <t>* เกษียณ 1 แต่ยังเพียงพอ</t>
  </si>
  <si>
    <t>พย.บ.</t>
  </si>
  <si>
    <t>(2) หลักสูตรที่รับผิดชอบ</t>
  </si>
  <si>
    <t>(3) จำนวนบุคลากร สายวิชาการ</t>
  </si>
  <si>
    <t>(4) บุคลากรที่
ลาศึกษาต่อ
(เต็มเวลา)</t>
  </si>
  <si>
    <t>(5) รวมบุคลากรที่ปฏิบัติงานจริง</t>
  </si>
  <si>
    <t>(6) FTES
ปีการศึกษา 2563</t>
  </si>
  <si>
    <t xml:space="preserve">(7) กรอบอัตรากำลังที่ควรจะมี FTES
</t>
  </si>
  <si>
    <t>(8) forecast FTES 65-68</t>
  </si>
  <si>
    <t xml:space="preserve">(9) กรอบอัตรา
กำลังที่ควร
จะมี FTES
</t>
  </si>
  <si>
    <t>(10) วิธี (Teching Load)
ปีการศึกษา 2563</t>
  </si>
  <si>
    <t>(11) ภาระงานสอน รายภาคการศึกษา (หารสอง)</t>
  </si>
  <si>
    <t>(12) กรอบอัตราที่ควร(Teching Load)</t>
  </si>
  <si>
    <t>(13) กรอบอัตราที่ควร(Teching Load)
(หารสอง)</t>
  </si>
  <si>
    <t>(14) ความขาดแคลน</t>
  </si>
  <si>
    <t xml:space="preserve">(15) จำนวนอาจารย์ประจำหลักสูตร </t>
  </si>
  <si>
    <t xml:space="preserve">(16) จำนวนอาจารย์ตามเกณฑ์
สภาวิชาชีพ 
</t>
  </si>
  <si>
    <t>(17) อัตราเกษียณ
อายุราชการ</t>
  </si>
  <si>
    <t>(18) กรอบอัตรา
ที่ต้องการ 5 ปี</t>
  </si>
  <si>
    <t xml:space="preserve">(19) หมายเหตุหลักเกณฑ์พิจารณา </t>
  </si>
  <si>
    <t>(7) - (5) อัตรา</t>
  </si>
  <si>
    <t>(12) - (5) อัตรา</t>
  </si>
  <si>
    <t>(12) - (5) 
อัตรา</t>
  </si>
  <si>
    <t xml:space="preserve">*แผนเปิดหลักสูตรใหม่  หลักเกณฑ์ สภาวิชาชีพ </t>
  </si>
  <si>
    <t xml:space="preserve">8. โรงเรียนสาธิต </t>
  </si>
  <si>
    <t xml:space="preserve">(6) อัตรากำลังที่ควรจะมี FTES
</t>
  </si>
  <si>
    <t xml:space="preserve">(7) อัตรากำลังที่ควรจะมี Teaching load
</t>
  </si>
  <si>
    <t>(8) อัตราเกษียณ
อายุราชการ</t>
  </si>
  <si>
    <t>(9) กรอบอัตราเพิ่ม ระยะ 5 ปี</t>
  </si>
  <si>
    <t>8.1 ภาษาไทย</t>
  </si>
  <si>
    <t>8.2 คณิตศาสตร์</t>
  </si>
  <si>
    <t>8.3 วิทยาศาสตร์</t>
  </si>
  <si>
    <t xml:space="preserve">8.4 สังคมศึกษา ศาสนาและวัฒนธรรม </t>
  </si>
  <si>
    <t>8.5 ภาษาอังกฤษ</t>
  </si>
  <si>
    <t>8.6 คอมพิวเตอร์</t>
  </si>
  <si>
    <t>8.7 ศิลปะ</t>
  </si>
  <si>
    <t>8.8 ดนตรี/การงาน
อาชีพ</t>
  </si>
  <si>
    <t>8.10 พลศึกษาและสุขศึกษา</t>
  </si>
  <si>
    <t>8.11 การศึกษาพิเศษ</t>
  </si>
  <si>
    <t xml:space="preserve">8.9 นาฏศิลป์/ การงานอาชีพ </t>
  </si>
  <si>
    <t xml:space="preserve">8.12 ปฐมวัย </t>
  </si>
  <si>
    <t>วท.ม. (การจัดการเทคโนโลยีสารสนเทศ)</t>
  </si>
  <si>
    <t>วท.ม. (ระบบสารสนเทศและนวัตกรรมดิจิทัล)</t>
  </si>
  <si>
    <t>4.10 สาขาวิชาการจัดการข้อมูลดิจิทัล**</t>
  </si>
  <si>
    <t>ค.ม.**</t>
  </si>
  <si>
    <t>บธ.บ.**</t>
  </si>
  <si>
    <t>** หลักสูตรเปิดใหม่ปีการศึกษา 1/2564</t>
  </si>
  <si>
    <t>(2) จำนวนบุคลากร สายวิชาการ</t>
  </si>
  <si>
    <t>(3) บุคลากรที่
ลาศึกษาต่อ
(เต็มเวลา)</t>
  </si>
  <si>
    <t>(4) รวมบุคลากรที่ปฏิบัติงานจริง</t>
  </si>
  <si>
    <t xml:space="preserve">(5) อัตรากำลังที่ควรจะมี FTES
</t>
  </si>
  <si>
    <t xml:space="preserve">(6) อัตรากำลังที่ควรจะมี Teaching load
</t>
  </si>
  <si>
    <t>(7) อัตราเกษียณ
อายุราชการ</t>
  </si>
  <si>
    <t>(8) กรอบอัตราเพิ่ม ระยะ 5 ปี</t>
  </si>
  <si>
    <t>วท.บ. ** (เทคโนโลยีดิจิทัลมีเดีย **)</t>
  </si>
  <si>
    <t>สรุปผลการวิเคราะห์กรอบอัตรากำลังบุคลากรสายวิชาการ และการวางแผนกรอบอัตรากำลังระยะ 5 ปี (งบประมาณ พ.ศ. 2564- 2568) มหาวิทยาลัยราชภัฏนครราชสีมา</t>
  </si>
  <si>
    <t>ว</t>
  </si>
  <si>
    <t>กระดาษทำการคำนวณอัตรากำลังพึงมี ตามหลักเกณฑ์</t>
  </si>
  <si>
    <t xml:space="preserve">ร.บ. </t>
  </si>
  <si>
    <t>2.17 รัฐศาสตร์</t>
  </si>
  <si>
    <t>(1) หลักสูตร</t>
  </si>
  <si>
    <t>ชีววิทยาและวิทย์ฯสุขภาพ</t>
  </si>
  <si>
    <t>มัธยมศึกษา</t>
  </si>
  <si>
    <t>ฟิสิกส์ วิทยาการคำนวณและหุ่นยนต์</t>
  </si>
  <si>
    <t>ภาษาต่างประเทศ</t>
  </si>
  <si>
    <t>ศิลปศาสตร์และทักษะชีวิต</t>
  </si>
  <si>
    <t xml:space="preserve">*แผนเปิดหลักสูตรใหม่ ในปีการศึกษา 2565 </t>
  </si>
  <si>
    <r>
      <t>บธ.บ.</t>
    </r>
    <r>
      <rPr>
        <sz val="16"/>
        <color indexed="8"/>
        <rFont val="TH SarabunPSK"/>
        <family val="2"/>
      </rPr>
      <t xml:space="preserve"> (การจัดการ)</t>
    </r>
  </si>
  <si>
    <r>
      <t xml:space="preserve">บธ.บ. </t>
    </r>
    <r>
      <rPr>
        <sz val="16"/>
        <color indexed="8"/>
        <rFont val="TH SarabunPSK"/>
        <family val="2"/>
      </rPr>
      <t>(การจัดการโลจิสติกส์และโซ่อุปทาน)</t>
    </r>
  </si>
  <si>
    <r>
      <t>บธ.บ.</t>
    </r>
    <r>
      <rPr>
        <sz val="16"/>
        <color indexed="8"/>
        <rFont val="TH SarabunPSK"/>
        <family val="2"/>
      </rPr>
      <t xml:space="preserve"> การจัดการธุรกิจการค้าสมัยใหม่)</t>
    </r>
  </si>
  <si>
    <r>
      <t xml:space="preserve">ศศ.บ.  </t>
    </r>
    <r>
      <rPr>
        <sz val="16"/>
        <color indexed="8"/>
        <rFont val="TH SarabunPSK"/>
        <family val="2"/>
      </rPr>
      <t>(การจัดการโรงแรม)</t>
    </r>
  </si>
  <si>
    <r>
      <t xml:space="preserve">ศศ.บ.  </t>
    </r>
    <r>
      <rPr>
        <sz val="16"/>
        <color indexed="8"/>
        <rFont val="TH SarabunPSK"/>
        <family val="2"/>
      </rPr>
      <t>(อุตสาหกรรมท่องเที่ยว)</t>
    </r>
  </si>
  <si>
    <r>
      <t xml:space="preserve">ศศ.บ. </t>
    </r>
    <r>
      <rPr>
        <sz val="16"/>
        <rFont val="TH SarabunPSK"/>
        <family val="2"/>
      </rPr>
      <t>(ภาษาไทย)</t>
    </r>
  </si>
  <si>
    <r>
      <t xml:space="preserve">ศศ.บ. </t>
    </r>
    <r>
      <rPr>
        <sz val="16"/>
        <rFont val="TH SarabunPSK"/>
        <family val="2"/>
      </rPr>
      <t>(ภาษาไทยเพื่อการสื่อสารสำหรับชาวต่างประเทศ)</t>
    </r>
  </si>
  <si>
    <t>ตารางที่ 15 กรอบอัตรากำลังบุคลากรสายวิชาการ มหาวิทยาลัยราชภัฏนครราชสีมา ระยะ 5 ปี (พ.ศ.2564 -2568) ระดับปฐมวัย ประถมศึกษา และมัธยมศึกษา</t>
  </si>
  <si>
    <t xml:space="preserve">7.1. พยาบาลศาสตร์ </t>
  </si>
  <si>
    <t>5.1 วิศวกรรมการก่อสร้าง</t>
  </si>
  <si>
    <t>5.2 สถาปัตยกรรม</t>
  </si>
  <si>
    <t>5.3 เทคโนโลยีและโทรคมนาคม</t>
  </si>
  <si>
    <t>5.4 การจัดการอุตสากรรม</t>
  </si>
  <si>
    <t>5.5 อุตสาหกรรมศิลป์</t>
  </si>
  <si>
    <t>5.6 วิศวกรรมการจัดการอุตสาหกรรม</t>
  </si>
  <si>
    <t xml:space="preserve">5.7 วิศกรรมไฟฟ้าอุตสาหรรม </t>
  </si>
  <si>
    <t>5.8 ครุศาสตร์อุตสาหกรรม</t>
  </si>
  <si>
    <t>5.9 เทคโนโลยีโยธาสถาปัตยกรรม</t>
  </si>
  <si>
    <t>1.3 การศึกษาพิเศษ</t>
  </si>
  <si>
    <t>4.3 การเงินและการธนาคาร</t>
  </si>
  <si>
    <t xml:space="preserve">โรงเรียนสาธิตฯ </t>
  </si>
  <si>
    <t xml:space="preserve">1. ปฐมวัย </t>
  </si>
  <si>
    <t>2.1 ภาษาไทย</t>
  </si>
  <si>
    <t>2.2 คณิตศาสตร์</t>
  </si>
  <si>
    <t>2.3 วิทยาศาสตร์</t>
  </si>
  <si>
    <t xml:space="preserve">2.4 สังคมศึกษา ศาสนาและวัฒนธรรม </t>
  </si>
  <si>
    <t>2.5 ภาษาอังกฤษ</t>
  </si>
  <si>
    <t>2.6 คอมพิวเตอร์</t>
  </si>
  <si>
    <t>2.7 ศิลปะ</t>
  </si>
  <si>
    <t>2.8 ดนตรี/การงาน
อาชีพ</t>
  </si>
  <si>
    <t xml:space="preserve">2.9 นาฏศิลป์/ การงานอาชีพ </t>
  </si>
  <si>
    <t>2.10 พลศึกษาและสุขศึกษา</t>
  </si>
  <si>
    <t>2.11 การศึกษาพิเศษ</t>
  </si>
  <si>
    <t>3. มัธยมศึกษา</t>
  </si>
  <si>
    <t>3.1 คณิตศาสตร์</t>
  </si>
  <si>
    <t>3.2 เคมี</t>
  </si>
  <si>
    <t>3.3 ชีววิทยาและวิทย์ฯสุขภาพ</t>
  </si>
  <si>
    <t>3.4 ฟิสิกส์ วิทยาการคำนวณและหุ่นยนต์</t>
  </si>
  <si>
    <t>3.5 ภาษาต่างประเทศ</t>
  </si>
  <si>
    <t>3.6 ศิลปศาสตร์และทักษะชีวิต</t>
  </si>
  <si>
    <t>5.9 เทคโนโลยีโยธาสถาปัตยกรรม**</t>
  </si>
  <si>
    <t xml:space="preserve">วท.ม. (วิทยาศาสตรศึกษา) </t>
  </si>
  <si>
    <t xml:space="preserve">(1) กลุ่มสาระการเรียนรู้ </t>
  </si>
  <si>
    <t>* หลักสูตรเปิดใหม่ปีการศึกษา 1/2564</t>
  </si>
  <si>
    <t>ค.ม.*</t>
  </si>
  <si>
    <t>ทล.บ.*</t>
  </si>
  <si>
    <t>4.7 การจัดการข้อมูลดิจิทัล**</t>
  </si>
  <si>
    <t>4.8 การจัดการทรัพยากรมนุษย์</t>
  </si>
  <si>
    <t>4.9 เศรษฐศาสตร์</t>
  </si>
  <si>
    <t>4.10 อุตสาหกรรมท่องเที่ยวฯ</t>
  </si>
  <si>
    <r>
      <t>บธ.บ.</t>
    </r>
    <r>
      <rPr>
        <sz val="12"/>
        <color indexed="8"/>
        <rFont val="TH SarabunPSK"/>
        <family val="2"/>
      </rPr>
      <t xml:space="preserve"> (การจัดการ)</t>
    </r>
  </si>
  <si>
    <r>
      <t xml:space="preserve">บธ.บ. </t>
    </r>
    <r>
      <rPr>
        <sz val="12"/>
        <color indexed="8"/>
        <rFont val="TH SarabunPSK"/>
        <family val="2"/>
      </rPr>
      <t>(การจัดการโลจิสติกส์และโซ่อุปทาน)</t>
    </r>
  </si>
  <si>
    <r>
      <t>บธ.บ.</t>
    </r>
    <r>
      <rPr>
        <sz val="12"/>
        <color indexed="8"/>
        <rFont val="TH SarabunPSK"/>
        <family val="2"/>
      </rPr>
      <t xml:space="preserve"> การจัดการธุรกิจการค้าสมัยใหม่)</t>
    </r>
  </si>
  <si>
    <r>
      <t xml:space="preserve">ศศ.บ.  </t>
    </r>
    <r>
      <rPr>
        <sz val="12"/>
        <color indexed="8"/>
        <rFont val="TH SarabunPSK"/>
        <family val="2"/>
      </rPr>
      <t>(การจัดการโรงแรม)</t>
    </r>
  </si>
  <si>
    <r>
      <t xml:space="preserve">ศศ.บ.  </t>
    </r>
    <r>
      <rPr>
        <sz val="12"/>
        <color indexed="8"/>
        <rFont val="TH SarabunPSK"/>
        <family val="2"/>
      </rPr>
      <t>(อุตสาหกรรมท่องเที่ยว)</t>
    </r>
  </si>
  <si>
    <r>
      <t xml:space="preserve">ศศ.บ. </t>
    </r>
    <r>
      <rPr>
        <sz val="12"/>
        <rFont val="TH SarabunPSK"/>
        <family val="2"/>
      </rPr>
      <t>(ภาษาไทย)</t>
    </r>
  </si>
  <si>
    <r>
      <t xml:space="preserve">ศศ.บ. </t>
    </r>
    <r>
      <rPr>
        <sz val="12"/>
        <rFont val="TH SarabunPSK"/>
        <family val="2"/>
      </rPr>
      <t>(ภาษาไทยเพื่อการสื่อสารสำหรับชาวต่างประเทศ)</t>
    </r>
  </si>
  <si>
    <t>4.7 การจัดการข้อมูลดิจิทัล</t>
  </si>
  <si>
    <t>อส.บ.**</t>
  </si>
  <si>
    <t>** หลักสูตรเปิดใหม่ปีการศึกษา 1/2565</t>
  </si>
  <si>
    <t>3.8 เทคโนโลยีดิจิทัลมีเดีย</t>
  </si>
  <si>
    <t>วท.บ. *</t>
  </si>
  <si>
    <t>3.9 วิทยาศาสตร์สิ่งแวดล้อม</t>
  </si>
  <si>
    <t>3.10 วิทยาศาสตร์และเทคโนโลยีการอาหาร</t>
  </si>
  <si>
    <t>3.11 วิทยาศาสตร์การออกกำลังกาย</t>
  </si>
  <si>
    <t>3.12 คอมพิวเตอร์ศึกษา</t>
  </si>
  <si>
    <t>3.13 ภูมิสารสนเทศ</t>
  </si>
  <si>
    <t>3.14 เทคนิคการสัตวแพทย์</t>
  </si>
  <si>
    <t>วท.บ.  *</t>
  </si>
  <si>
    <t xml:space="preserve">ตารางที่ 14 กรอบอัตรากำลังบุคลากรสายวิชาการ มหาวิทยาลัยราชภัฏนครราชสีมา ระยะ 5 ปี(พ.ศ.2564 -2568) ระดับอุดมศึกษา </t>
  </si>
  <si>
    <t>2. ประถมศึกษา</t>
  </si>
  <si>
    <t>(1) คณะ/หลักสูตร</t>
  </si>
  <si>
    <r>
      <t xml:space="preserve">ศศ.บ. </t>
    </r>
    <r>
      <rPr>
        <sz val="12"/>
        <rFont val="TH SarabunPSK"/>
        <family val="2"/>
      </rPr>
      <t xml:space="preserve">(ภาษาไทย) </t>
    </r>
    <r>
      <rPr>
        <sz val="16"/>
        <color indexed="10"/>
        <rFont val="TH SarabunPSK"/>
        <family val="2"/>
      </rPr>
      <t xml:space="preserve">-2 </t>
    </r>
  </si>
  <si>
    <r>
      <t>ศศ.บ. (ภาษาอังกฤษ)</t>
    </r>
    <r>
      <rPr>
        <sz val="16"/>
        <color indexed="10"/>
        <rFont val="TH SarabunPSK"/>
        <family val="2"/>
      </rPr>
      <t xml:space="preserve"> -2</t>
    </r>
  </si>
  <si>
    <r>
      <t xml:space="preserve">ศศ.บ.  </t>
    </r>
    <r>
      <rPr>
        <sz val="16"/>
        <color indexed="10"/>
        <rFont val="TH SarabunPSK"/>
        <family val="2"/>
      </rPr>
      <t xml:space="preserve">-1 </t>
    </r>
  </si>
  <si>
    <t xml:space="preserve">จำนวนบุคลากรสายวิชาการ ประเภทลูกจ้างชั่วคราว </t>
  </si>
  <si>
    <t>ลำดับ</t>
  </si>
  <si>
    <t>สาขาวิชา</t>
  </si>
  <si>
    <t>ชื่อ</t>
  </si>
  <si>
    <t>สกุล</t>
  </si>
  <si>
    <t>ปริญญา</t>
  </si>
  <si>
    <t>ตำแหน่งทางวิชาการ</t>
  </si>
  <si>
    <t>ประเภทบุคลากร</t>
  </si>
  <si>
    <t>สาขาวิชาภาษาไทย</t>
  </si>
  <si>
    <t>กุลวดี</t>
  </si>
  <si>
    <t>พุทธมงคล</t>
  </si>
  <si>
    <t>ปริญญาเอก</t>
  </si>
  <si>
    <t>ผู้ช่วยศาสตราจารย์</t>
  </si>
  <si>
    <t>ลูกจ้างชั่วคราว</t>
  </si>
  <si>
    <t>วิราวรรณ์</t>
  </si>
  <si>
    <t>ชาติบุตร</t>
  </si>
  <si>
    <t>สาขาวิชาภาษาอังกฤษ</t>
  </si>
  <si>
    <t>James</t>
  </si>
  <si>
    <t>Patterson Turnbull</t>
  </si>
  <si>
    <t>ปริญญาตรี</t>
  </si>
  <si>
    <t>อาจารย์ชาวต่างประเทศ</t>
  </si>
  <si>
    <t>Jamie Duncan</t>
  </si>
  <si>
    <t>Maclean</t>
  </si>
  <si>
    <t>ปริญญาโท</t>
  </si>
  <si>
    <t>สาขาวิชาภาษาญี่ปุ่น</t>
  </si>
  <si>
    <t>Yumi</t>
  </si>
  <si>
    <t>Ueda</t>
  </si>
  <si>
    <t>สาขาวิชาภาษาจีน</t>
  </si>
  <si>
    <t>วรยศ</t>
  </si>
  <si>
    <t>ชื่นสบาย</t>
  </si>
  <si>
    <t>อาจารย์</t>
  </si>
  <si>
    <t>Shujuan</t>
  </si>
  <si>
    <t>Yang</t>
  </si>
  <si>
    <t>Wan-Ting</t>
  </si>
  <si>
    <t>Huang</t>
  </si>
  <si>
    <t>สาขาวิชาพัฒนาสังคม</t>
  </si>
  <si>
    <t>ภาสกร</t>
  </si>
  <si>
    <t>บัวศรี</t>
  </si>
  <si>
    <t xml:space="preserve">สาขาวิชาเกษตรศาสตร์ </t>
  </si>
  <si>
    <t>รัชนีกร</t>
  </si>
  <si>
    <t>มูลปา</t>
  </si>
  <si>
    <t xml:space="preserve">สาขาวิชาคหกรรมศาสตร์ </t>
  </si>
  <si>
    <t>วัฒนาภรณ์</t>
  </si>
  <si>
    <t>โชครัตนชัย</t>
  </si>
  <si>
    <t>รองศาสตราจารย์</t>
  </si>
  <si>
    <t>สาขาวิชาวิทยาศาสตร์การกีฬาและการออกกำลังกาย</t>
  </si>
  <si>
    <t>กนกวรรณ</t>
  </si>
  <si>
    <t>รัศมียูงทอง</t>
  </si>
  <si>
    <t>ธนากาญจน์</t>
  </si>
  <si>
    <t>เสถียรพูนสุข</t>
  </si>
  <si>
    <t>สาขาวิชาการจัดการ</t>
  </si>
  <si>
    <t>เอกราช</t>
  </si>
  <si>
    <t>หนูแก้ว</t>
  </si>
  <si>
    <t>พิชญา</t>
  </si>
  <si>
    <t>วรรณพงศ์เจริญ</t>
  </si>
  <si>
    <t>สาขาวิชาเทคโนโลยีอิเล็กทรอนิกส์และโทรคมนาคม</t>
  </si>
  <si>
    <t>ลายกนก</t>
  </si>
  <si>
    <t>โครงการจัดตั้งคณะพยาบาลศาสตร์</t>
  </si>
  <si>
    <t>นัฐรัมภาพร</t>
  </si>
  <si>
    <t>ธนปิยวัฒน์</t>
  </si>
  <si>
    <t>กัลยาวีร์</t>
  </si>
  <si>
    <t>อนนท์จารย์</t>
  </si>
  <si>
    <t>วริศรา</t>
  </si>
  <si>
    <t>ปั่นทองหลาง</t>
  </si>
  <si>
    <t>สุมนทิพย์</t>
  </si>
  <si>
    <t>บุญเกิด</t>
  </si>
  <si>
    <t>รณชัย</t>
  </si>
  <si>
    <t>คนบุญ</t>
  </si>
  <si>
    <t>ศิริกัญญา</t>
  </si>
  <si>
    <t>ฤทธิ์แปลก</t>
  </si>
  <si>
    <r>
      <t xml:space="preserve">ศศ.บ. </t>
    </r>
    <r>
      <rPr>
        <sz val="16"/>
        <color indexed="10"/>
        <rFont val="TH SarabunPSK"/>
        <family val="2"/>
      </rPr>
      <t>-3</t>
    </r>
  </si>
  <si>
    <r>
      <t xml:space="preserve">ศศ.บ. </t>
    </r>
    <r>
      <rPr>
        <sz val="16"/>
        <color indexed="10"/>
        <rFont val="TH SarabunPSK"/>
        <family val="2"/>
      </rPr>
      <t xml:space="preserve">-1 </t>
    </r>
  </si>
  <si>
    <r>
      <t xml:space="preserve">วท.บ. </t>
    </r>
    <r>
      <rPr>
        <sz val="16"/>
        <color indexed="10"/>
        <rFont val="TH SarabunPSK"/>
        <family val="2"/>
      </rPr>
      <t xml:space="preserve">-1 </t>
    </r>
  </si>
  <si>
    <r>
      <t xml:space="preserve">วท.บ. </t>
    </r>
    <r>
      <rPr>
        <sz val="16"/>
        <color indexed="10"/>
        <rFont val="TH SarabunPSK"/>
        <family val="2"/>
      </rPr>
      <t>-2</t>
    </r>
  </si>
  <si>
    <r>
      <t>บธ.บ.</t>
    </r>
    <r>
      <rPr>
        <sz val="12"/>
        <color indexed="8"/>
        <rFont val="TH SarabunPSK"/>
        <family val="2"/>
      </rPr>
      <t xml:space="preserve"> (การจัดการ)</t>
    </r>
    <r>
      <rPr>
        <sz val="16"/>
        <color indexed="10"/>
        <rFont val="TH SarabunPSK"/>
        <family val="2"/>
      </rPr>
      <t xml:space="preserve"> -2 </t>
    </r>
  </si>
  <si>
    <r>
      <t>อส.บ. (ต่อเนื่อง)</t>
    </r>
    <r>
      <rPr>
        <sz val="16"/>
        <color indexed="10"/>
        <rFont val="TH SarabunPSK"/>
        <family val="2"/>
      </rPr>
      <t xml:space="preserve"> -1 </t>
    </r>
  </si>
  <si>
    <r>
      <t>พย.บ</t>
    </r>
    <r>
      <rPr>
        <sz val="16"/>
        <color indexed="10"/>
        <rFont val="TH SarabunPSK"/>
        <family val="2"/>
      </rPr>
      <t xml:space="preserve">. -6 </t>
    </r>
  </si>
  <si>
    <r>
      <t>วท.บ.</t>
    </r>
    <r>
      <rPr>
        <sz val="16"/>
        <color indexed="10"/>
        <rFont val="TH SarabunPSK"/>
        <family val="2"/>
      </rPr>
      <t xml:space="preserve"> -1 </t>
    </r>
  </si>
  <si>
    <t>สรุปผลการวิเคราะห์กรอบอัตรากำลังบุคลากรสายวิชาการ และการวางแผนกรอบอัตรากำลังระยะ 5 ปี (งบประมาณ พ.ศ. 2567- 2571) มหาวิทยาลัยราชภัฏนครราชสีมา</t>
  </si>
  <si>
    <t>(6) FTES
ปีการศึกษา 2565</t>
  </si>
  <si>
    <t>(8) forecast FTES 66-70</t>
  </si>
  <si>
    <t>รวม
(3.1)</t>
  </si>
  <si>
    <t>(10) วิธี (Teaching Load)
ปีการศึกษา 2565</t>
  </si>
  <si>
    <t>(8) วิธี (Teaching Load)
ปีการศึกษา 2565</t>
  </si>
  <si>
    <t xml:space="preserve">(9) กรอบอัตราที่ควร(Teching Load)
</t>
  </si>
  <si>
    <t xml:space="preserve">(10) จำนวนอาจารย์ประจำหลักสูตร </t>
  </si>
  <si>
    <t xml:space="preserve">(11) จำนวนอาจารย์ตามเกณฑ์
สภาวิชาชีพ 
</t>
  </si>
  <si>
    <t>(12) อัตราเกษียณ
อายุราชการ</t>
  </si>
  <si>
    <t>(13) กรอบอัตรา
ที่ต้องการ 5 ปี</t>
  </si>
  <si>
    <t>สรุปผลการวิเคราะห์กรอบอัตรากำลังบุคลากรสายวิชาการ และการวางแผนกรอบอัตรากำลังระยะ 5 ปี (งบประมาณ พ.ศ. 2564-2568) มหาวิทยาลัยราชภัฏนครราชสีมา</t>
  </si>
  <si>
    <r>
      <rPr>
        <b/>
        <sz val="18"/>
        <rFont val="TH SarabunPSK"/>
        <family val="2"/>
      </rPr>
      <t>(14) หมายเหตุหลักเกณฑ์พิจารณา</t>
    </r>
    <r>
      <rPr>
        <b/>
        <sz val="12"/>
        <rFont val="TH SarabunPSK"/>
        <family val="2"/>
        <charset val="22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</si>
</sst>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200" formatCode="_-* #,##0_-;\-* #,##0_-;_-* &quot;-&quot;??_-;_-@_-"/>
    <numFmt numFmtId="222" formatCode="\ #;\(#\);\-"/>
    <numFmt numFmtId="224" formatCode="\ #.00;\(#.00\);\-"/>
  </numFmts>
  <fonts count="69" x14ac:knownFonts="1"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b/>
      <sz val="14"/>
      <name val="TH SarabunPSK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8"/>
      <name val="Tahoma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222"/>
    </font>
    <font>
      <u/>
      <sz val="16"/>
      <color indexed="8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name val="Arial"/>
      <family val="2"/>
      <charset val="222"/>
    </font>
    <font>
      <sz val="12"/>
      <name val="TH SarabunPSK"/>
      <family val="2"/>
      <charset val="22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28"/>
      <name val="TH SarabunPSK"/>
      <family val="2"/>
      <charset val="22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4"/>
      <name val="TH SarabunPSK"/>
      <family val="2"/>
      <charset val="222"/>
    </font>
    <font>
      <b/>
      <sz val="18"/>
      <name val="TH SarabunPSK"/>
      <family val="2"/>
      <charset val="222"/>
    </font>
    <font>
      <b/>
      <sz val="12"/>
      <name val="TH SarabunPSK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  <charset val="22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rial"/>
      <family val="2"/>
    </font>
    <font>
      <sz val="14"/>
      <color theme="1"/>
      <name val="TH SarabunPSK"/>
      <family val="2"/>
    </font>
    <font>
      <sz val="16"/>
      <color theme="1"/>
      <name val="Arial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  <font>
      <b/>
      <u/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theme="1"/>
      <name val="Arial"/>
      <family val="2"/>
      <charset val="222"/>
    </font>
    <font>
      <sz val="16"/>
      <color rgb="FF0000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color rgb="FFFF0000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color rgb="FF000000"/>
      <name val="TH SarabunPSK"/>
      <family val="2"/>
      <charset val="222"/>
    </font>
    <font>
      <b/>
      <sz val="12"/>
      <color rgb="FFFF0000"/>
      <name val="Arial"/>
      <family val="2"/>
      <charset val="222"/>
    </font>
    <font>
      <sz val="12"/>
      <color theme="1"/>
      <name val="Arial"/>
      <family val="2"/>
      <charset val="222"/>
    </font>
    <font>
      <b/>
      <sz val="11"/>
      <color theme="1"/>
      <name val="Arial"/>
      <family val="2"/>
      <charset val="222"/>
    </font>
    <font>
      <b/>
      <sz val="16"/>
      <color rgb="FF000000"/>
      <name val="TH SarabunPSK"/>
      <family val="2"/>
      <charset val="22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4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Border="0"/>
    <xf numFmtId="43" fontId="39" fillId="0" borderId="0" applyFont="0" applyFill="0" applyBorder="0" applyAlignment="0" applyProtection="0"/>
    <xf numFmtId="0" fontId="7" fillId="0" borderId="0"/>
    <xf numFmtId="0" fontId="7" fillId="0" borderId="0"/>
  </cellStyleXfs>
  <cellXfs count="431">
    <xf numFmtId="0" fontId="0" fillId="0" borderId="0" xfId="0"/>
    <xf numFmtId="0" fontId="1" fillId="0" borderId="0" xfId="0" applyFont="1" applyFill="1" applyAlignment="1">
      <alignment horizontal="center" vertical="top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42" fillId="2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0" fontId="42" fillId="3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4" fillId="0" borderId="1" xfId="0" applyFont="1" applyBorder="1" applyAlignment="1">
      <alignment vertical="top"/>
    </xf>
    <xf numFmtId="0" fontId="45" fillId="3" borderId="1" xfId="0" applyFont="1" applyFill="1" applyBorder="1" applyAlignment="1">
      <alignment vertical="top"/>
    </xf>
    <xf numFmtId="0" fontId="40" fillId="0" borderId="0" xfId="0" applyFont="1" applyFill="1" applyAlignment="1">
      <alignment horizontal="left" vertical="top"/>
    </xf>
    <xf numFmtId="1" fontId="46" fillId="3" borderId="1" xfId="3" applyNumberFormat="1" applyFont="1" applyFill="1" applyBorder="1" applyAlignment="1">
      <alignment horizontal="center" vertical="center" wrapText="1"/>
    </xf>
    <xf numFmtId="0" fontId="40" fillId="4" borderId="0" xfId="0" applyFont="1" applyFill="1" applyAlignment="1">
      <alignment vertical="top"/>
    </xf>
    <xf numFmtId="0" fontId="42" fillId="5" borderId="0" xfId="0" applyFont="1" applyFill="1" applyAlignment="1">
      <alignment vertical="top"/>
    </xf>
    <xf numFmtId="0" fontId="42" fillId="6" borderId="0" xfId="0" applyFont="1" applyFill="1" applyAlignment="1">
      <alignment vertical="top"/>
    </xf>
    <xf numFmtId="0" fontId="40" fillId="3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40" fillId="6" borderId="0" xfId="0" applyFont="1" applyFill="1" applyAlignment="1">
      <alignment vertical="top"/>
    </xf>
    <xf numFmtId="0" fontId="10" fillId="3" borderId="1" xfId="0" applyFont="1" applyFill="1" applyBorder="1" applyAlignment="1">
      <alignment vertical="top"/>
    </xf>
    <xf numFmtId="0" fontId="42" fillId="7" borderId="0" xfId="0" applyFont="1" applyFill="1" applyAlignment="1">
      <alignment vertical="top"/>
    </xf>
    <xf numFmtId="0" fontId="40" fillId="7" borderId="0" xfId="0" applyFont="1" applyFill="1" applyAlignment="1">
      <alignment vertical="top"/>
    </xf>
    <xf numFmtId="0" fontId="10" fillId="8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/>
    </xf>
    <xf numFmtId="0" fontId="46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center" vertical="top"/>
    </xf>
    <xf numFmtId="0" fontId="40" fillId="9" borderId="0" xfId="0" applyFont="1" applyFill="1" applyAlignment="1">
      <alignment horizontal="center" vertical="top"/>
    </xf>
    <xf numFmtId="3" fontId="49" fillId="0" borderId="0" xfId="0" applyNumberFormat="1" applyFont="1" applyFill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top"/>
    </xf>
    <xf numFmtId="1" fontId="40" fillId="0" borderId="0" xfId="0" applyNumberFormat="1" applyFont="1" applyFill="1" applyAlignment="1">
      <alignment horizontal="center" vertical="top"/>
    </xf>
    <xf numFmtId="222" fontId="50" fillId="6" borderId="1" xfId="0" applyNumberFormat="1" applyFont="1" applyFill="1" applyBorder="1" applyAlignment="1">
      <alignment vertical="top"/>
    </xf>
    <xf numFmtId="222" fontId="50" fillId="6" borderId="1" xfId="0" applyNumberFormat="1" applyFont="1" applyFill="1" applyBorder="1" applyAlignment="1">
      <alignment horizontal="left" vertical="top"/>
    </xf>
    <xf numFmtId="222" fontId="10" fillId="6" borderId="1" xfId="0" applyNumberFormat="1" applyFont="1" applyFill="1" applyBorder="1" applyAlignment="1">
      <alignment horizontal="center" vertical="top"/>
    </xf>
    <xf numFmtId="222" fontId="46" fillId="3" borderId="1" xfId="3" applyNumberFormat="1" applyFont="1" applyFill="1" applyBorder="1" applyAlignment="1">
      <alignment horizontal="center" vertical="center" wrapText="1"/>
    </xf>
    <xf numFmtId="222" fontId="10" fillId="10" borderId="1" xfId="0" applyNumberFormat="1" applyFont="1" applyFill="1" applyBorder="1" applyAlignment="1">
      <alignment horizontal="center" vertical="top"/>
    </xf>
    <xf numFmtId="222" fontId="40" fillId="0" borderId="0" xfId="0" applyNumberFormat="1" applyFont="1" applyFill="1" applyAlignment="1">
      <alignment horizontal="center" vertical="top"/>
    </xf>
    <xf numFmtId="222" fontId="10" fillId="11" borderId="1" xfId="0" applyNumberFormat="1" applyFont="1" applyFill="1" applyBorder="1" applyAlignment="1">
      <alignment horizontal="center" vertical="top"/>
    </xf>
    <xf numFmtId="222" fontId="46" fillId="0" borderId="1" xfId="0" applyNumberFormat="1" applyFont="1" applyFill="1" applyBorder="1" applyAlignment="1">
      <alignment horizontal="center" vertical="center"/>
    </xf>
    <xf numFmtId="222" fontId="46" fillId="0" borderId="1" xfId="3" applyNumberFormat="1" applyFont="1" applyFill="1" applyBorder="1" applyAlignment="1">
      <alignment horizontal="center" vertical="center" wrapText="1"/>
    </xf>
    <xf numFmtId="222" fontId="46" fillId="12" borderId="1" xfId="3" applyNumberFormat="1" applyFont="1" applyFill="1" applyBorder="1" applyAlignment="1">
      <alignment horizontal="center" vertical="center" wrapText="1"/>
    </xf>
    <xf numFmtId="222" fontId="46" fillId="12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horizontal="center" vertical="top"/>
    </xf>
    <xf numFmtId="222" fontId="11" fillId="0" borderId="1" xfId="0" applyNumberFormat="1" applyFont="1" applyFill="1" applyBorder="1" applyAlignment="1">
      <alignment horizontal="center" vertical="top"/>
    </xf>
    <xf numFmtId="222" fontId="10" fillId="8" borderId="1" xfId="0" applyNumberFormat="1" applyFont="1" applyFill="1" applyBorder="1" applyAlignment="1">
      <alignment vertical="top"/>
    </xf>
    <xf numFmtId="222" fontId="10" fillId="0" borderId="1" xfId="0" applyNumberFormat="1" applyFont="1" applyFill="1" applyBorder="1" applyAlignment="1">
      <alignment vertical="top"/>
    </xf>
    <xf numFmtId="0" fontId="10" fillId="12" borderId="1" xfId="0" applyFont="1" applyFill="1" applyBorder="1" applyAlignment="1">
      <alignment horizontal="center" vertical="top"/>
    </xf>
    <xf numFmtId="0" fontId="40" fillId="13" borderId="0" xfId="0" applyFont="1" applyFill="1" applyAlignment="1">
      <alignment horizontal="center" vertical="top"/>
    </xf>
    <xf numFmtId="0" fontId="40" fillId="14" borderId="0" xfId="0" applyFont="1" applyFill="1" applyAlignment="1">
      <alignment horizontal="center" vertical="top"/>
    </xf>
    <xf numFmtId="0" fontId="40" fillId="12" borderId="0" xfId="0" applyFont="1" applyFill="1" applyAlignment="1">
      <alignment vertical="top"/>
    </xf>
    <xf numFmtId="222" fontId="46" fillId="15" borderId="1" xfId="3" applyNumberFormat="1" applyFont="1" applyFill="1" applyBorder="1" applyAlignment="1">
      <alignment horizontal="center" vertical="center" wrapText="1"/>
    </xf>
    <xf numFmtId="0" fontId="42" fillId="15" borderId="0" xfId="0" applyFont="1" applyFill="1" applyAlignment="1">
      <alignment vertical="top"/>
    </xf>
    <xf numFmtId="0" fontId="45" fillId="15" borderId="1" xfId="0" applyFont="1" applyFill="1" applyBorder="1" applyAlignment="1">
      <alignment vertical="top"/>
    </xf>
    <xf numFmtId="0" fontId="40" fillId="15" borderId="0" xfId="0" applyFont="1" applyFill="1" applyAlignment="1">
      <alignment vertical="top"/>
    </xf>
    <xf numFmtId="0" fontId="46" fillId="0" borderId="1" xfId="0" applyFont="1" applyBorder="1"/>
    <xf numFmtId="0" fontId="46" fillId="0" borderId="1" xfId="0" applyFont="1" applyBorder="1" applyAlignment="1">
      <alignment vertical="top"/>
    </xf>
    <xf numFmtId="0" fontId="46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/>
    </xf>
    <xf numFmtId="0" fontId="51" fillId="0" borderId="0" xfId="0" applyFont="1" applyFill="1" applyAlignment="1">
      <alignment vertical="top"/>
    </xf>
    <xf numFmtId="0" fontId="15" fillId="3" borderId="1" xfId="3" applyFont="1" applyFill="1" applyBorder="1" applyAlignment="1">
      <alignment vertical="center" wrapText="1"/>
    </xf>
    <xf numFmtId="222" fontId="14" fillId="3" borderId="1" xfId="0" applyNumberFormat="1" applyFont="1" applyFill="1" applyBorder="1" applyAlignment="1">
      <alignment horizontal="center" vertical="top"/>
    </xf>
    <xf numFmtId="3" fontId="14" fillId="3" borderId="1" xfId="0" applyNumberFormat="1" applyFont="1" applyFill="1" applyBorder="1" applyAlignment="1">
      <alignment horizontal="center" vertical="top"/>
    </xf>
    <xf numFmtId="224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/>
    </xf>
    <xf numFmtId="1" fontId="14" fillId="3" borderId="1" xfId="0" applyNumberFormat="1" applyFont="1" applyFill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/>
    </xf>
    <xf numFmtId="0" fontId="51" fillId="3" borderId="0" xfId="0" applyFont="1" applyFill="1" applyAlignment="1">
      <alignment vertical="top"/>
    </xf>
    <xf numFmtId="0" fontId="16" fillId="0" borderId="1" xfId="3" applyFont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top"/>
    </xf>
    <xf numFmtId="222" fontId="52" fillId="0" borderId="1" xfId="3" applyNumberFormat="1" applyFont="1" applyFill="1" applyBorder="1" applyAlignment="1">
      <alignment horizontal="center" vertical="center" wrapText="1"/>
    </xf>
    <xf numFmtId="222" fontId="52" fillId="12" borderId="1" xfId="3" applyNumberFormat="1" applyFont="1" applyFill="1" applyBorder="1" applyAlignment="1">
      <alignment horizontal="center" vertical="center" wrapText="1"/>
    </xf>
    <xf numFmtId="222" fontId="52" fillId="12" borderId="1" xfId="0" applyNumberFormat="1" applyFont="1" applyFill="1" applyBorder="1" applyAlignment="1">
      <alignment horizontal="center" vertical="center"/>
    </xf>
    <xf numFmtId="222" fontId="14" fillId="0" borderId="1" xfId="0" applyNumberFormat="1" applyFont="1" applyFill="1" applyBorder="1" applyAlignment="1">
      <alignment horizontal="center" vertical="top"/>
    </xf>
    <xf numFmtId="222" fontId="14" fillId="10" borderId="1" xfId="0" applyNumberFormat="1" applyFont="1" applyFill="1" applyBorder="1" applyAlignment="1">
      <alignment horizontal="center" vertical="top"/>
    </xf>
    <xf numFmtId="3" fontId="14" fillId="16" borderId="1" xfId="0" applyNumberFormat="1" applyFont="1" applyFill="1" applyBorder="1" applyAlignment="1">
      <alignment horizontal="center" vertical="top"/>
    </xf>
    <xf numFmtId="224" fontId="16" fillId="0" borderId="1" xfId="3" applyNumberFormat="1" applyFont="1" applyBorder="1" applyAlignment="1">
      <alignment horizontal="center" vertical="center" wrapText="1"/>
    </xf>
    <xf numFmtId="224" fontId="16" fillId="9" borderId="1" xfId="3" applyNumberFormat="1" applyFont="1" applyFill="1" applyBorder="1" applyAlignment="1">
      <alignment horizontal="center" vertical="center" wrapText="1"/>
    </xf>
    <xf numFmtId="4" fontId="13" fillId="17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222" fontId="13" fillId="0" borderId="1" xfId="0" applyNumberFormat="1" applyFont="1" applyFill="1" applyBorder="1" applyAlignment="1">
      <alignment horizontal="center" vertical="top"/>
    </xf>
    <xf numFmtId="222" fontId="16" fillId="0" borderId="1" xfId="3" applyNumberFormat="1" applyFont="1" applyFill="1" applyBorder="1" applyAlignment="1">
      <alignment horizontal="center" vertical="center" shrinkToFit="1"/>
    </xf>
    <xf numFmtId="222" fontId="14" fillId="12" borderId="1" xfId="0" applyNumberFormat="1" applyFont="1" applyFill="1" applyBorder="1" applyAlignment="1">
      <alignment vertical="top"/>
    </xf>
    <xf numFmtId="222" fontId="14" fillId="6" borderId="1" xfId="0" applyNumberFormat="1" applyFont="1" applyFill="1" applyBorder="1" applyAlignment="1">
      <alignment vertical="top"/>
    </xf>
    <xf numFmtId="1" fontId="14" fillId="2" borderId="1" xfId="0" applyNumberFormat="1" applyFont="1" applyFill="1" applyBorder="1" applyAlignment="1">
      <alignment horizontal="center" vertical="top"/>
    </xf>
    <xf numFmtId="0" fontId="14" fillId="14" borderId="1" xfId="0" applyFont="1" applyFill="1" applyBorder="1" applyAlignment="1">
      <alignment horizontal="center" vertical="top"/>
    </xf>
    <xf numFmtId="2" fontId="14" fillId="13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51" fillId="2" borderId="0" xfId="0" applyFont="1" applyFill="1" applyAlignment="1">
      <alignment vertical="top"/>
    </xf>
    <xf numFmtId="222" fontId="52" fillId="0" borderId="1" xfId="0" applyNumberFormat="1" applyFont="1" applyFill="1" applyBorder="1" applyAlignment="1">
      <alignment horizontal="center" vertical="top"/>
    </xf>
    <xf numFmtId="222" fontId="52" fillId="12" borderId="1" xfId="0" applyNumberFormat="1" applyFont="1" applyFill="1" applyBorder="1" applyAlignment="1">
      <alignment horizontal="center" vertical="top"/>
    </xf>
    <xf numFmtId="224" fontId="16" fillId="0" borderId="1" xfId="3" applyNumberFormat="1" applyFont="1" applyFill="1" applyBorder="1" applyAlignment="1">
      <alignment horizontal="center" vertical="center" wrapText="1"/>
    </xf>
    <xf numFmtId="222" fontId="17" fillId="0" borderId="1" xfId="3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left" vertical="top"/>
    </xf>
    <xf numFmtId="222" fontId="16" fillId="0" borderId="1" xfId="4" applyNumberFormat="1" applyFont="1" applyFill="1" applyBorder="1" applyAlignment="1">
      <alignment horizontal="center" vertical="center" shrinkToFit="1"/>
    </xf>
    <xf numFmtId="0" fontId="16" fillId="0" borderId="1" xfId="3" applyFont="1" applyFill="1" applyBorder="1" applyAlignment="1">
      <alignment horizontal="left" vertical="center" wrapText="1"/>
    </xf>
    <xf numFmtId="222" fontId="52" fillId="0" borderId="1" xfId="3" applyNumberFormat="1" applyFont="1" applyFill="1" applyBorder="1" applyAlignment="1">
      <alignment vertical="center" wrapText="1"/>
    </xf>
    <xf numFmtId="222" fontId="52" fillId="12" borderId="1" xfId="3" applyNumberFormat="1" applyFont="1" applyFill="1" applyBorder="1" applyAlignment="1">
      <alignment vertical="center" wrapText="1"/>
    </xf>
    <xf numFmtId="222" fontId="16" fillId="0" borderId="1" xfId="3" applyNumberFormat="1" applyFont="1" applyBorder="1" applyAlignment="1">
      <alignment horizontal="right" vertical="center" shrinkToFit="1"/>
    </xf>
    <xf numFmtId="222" fontId="16" fillId="0" borderId="1" xfId="3" applyNumberFormat="1" applyFont="1" applyFill="1" applyBorder="1" applyAlignment="1">
      <alignment horizontal="center" vertical="center" wrapText="1"/>
    </xf>
    <xf numFmtId="222" fontId="52" fillId="2" borderId="1" xfId="0" applyNumberFormat="1" applyFont="1" applyFill="1" applyBorder="1" applyAlignment="1">
      <alignment vertical="top"/>
    </xf>
    <xf numFmtId="222" fontId="53" fillId="0" borderId="1" xfId="0" applyNumberFormat="1" applyFont="1" applyFill="1" applyBorder="1" applyAlignment="1">
      <alignment horizontal="center" vertical="top"/>
    </xf>
    <xf numFmtId="222" fontId="54" fillId="0" borderId="1" xfId="0" applyNumberFormat="1" applyFont="1" applyFill="1" applyBorder="1" applyAlignment="1">
      <alignment horizontal="center" vertical="top"/>
    </xf>
    <xf numFmtId="0" fontId="16" fillId="0" borderId="1" xfId="3" applyFont="1" applyFill="1" applyBorder="1" applyAlignment="1">
      <alignment vertical="center" wrapText="1"/>
    </xf>
    <xf numFmtId="4" fontId="16" fillId="17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/>
    </xf>
    <xf numFmtId="222" fontId="16" fillId="0" borderId="1" xfId="0" applyNumberFormat="1" applyFont="1" applyFill="1" applyBorder="1" applyAlignment="1">
      <alignment horizontal="center" vertical="top"/>
    </xf>
    <xf numFmtId="222" fontId="16" fillId="12" borderId="1" xfId="0" applyNumberFormat="1" applyFont="1" applyFill="1" applyBorder="1" applyAlignment="1">
      <alignment vertical="top"/>
    </xf>
    <xf numFmtId="222" fontId="16" fillId="6" borderId="1" xfId="0" applyNumberFormat="1" applyFont="1" applyFill="1" applyBorder="1" applyAlignment="1">
      <alignment vertical="top"/>
    </xf>
    <xf numFmtId="1" fontId="16" fillId="0" borderId="1" xfId="0" applyNumberFormat="1" applyFont="1" applyFill="1" applyBorder="1" applyAlignment="1">
      <alignment horizontal="center" vertical="top"/>
    </xf>
    <xf numFmtId="0" fontId="16" fillId="13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/>
    </xf>
    <xf numFmtId="222" fontId="52" fillId="3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3" fontId="14" fillId="11" borderId="1" xfId="0" applyNumberFormat="1" applyFont="1" applyFill="1" applyBorder="1" applyAlignment="1">
      <alignment horizontal="center" vertical="top"/>
    </xf>
    <xf numFmtId="222" fontId="16" fillId="0" borderId="1" xfId="4" applyNumberFormat="1" applyFont="1" applyBorder="1" applyAlignment="1">
      <alignment horizontal="center" vertical="center" shrinkToFit="1"/>
    </xf>
    <xf numFmtId="222" fontId="14" fillId="2" borderId="1" xfId="0" applyNumberFormat="1" applyFont="1" applyFill="1" applyBorder="1" applyAlignment="1">
      <alignment horizontal="center" vertical="top"/>
    </xf>
    <xf numFmtId="0" fontId="52" fillId="0" borderId="1" xfId="0" applyFont="1" applyBorder="1" applyAlignment="1">
      <alignment vertical="top"/>
    </xf>
    <xf numFmtId="0" fontId="14" fillId="13" borderId="1" xfId="0" applyFont="1" applyFill="1" applyBorder="1" applyAlignment="1">
      <alignment horizontal="center" vertical="top"/>
    </xf>
    <xf numFmtId="0" fontId="52" fillId="0" borderId="1" xfId="0" applyFont="1" applyBorder="1"/>
    <xf numFmtId="222" fontId="14" fillId="0" borderId="1" xfId="0" applyNumberFormat="1" applyFont="1" applyFill="1" applyBorder="1" applyAlignment="1">
      <alignment horizontal="center" vertical="center"/>
    </xf>
    <xf numFmtId="222" fontId="14" fillId="10" borderId="1" xfId="0" applyNumberFormat="1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224" fontId="16" fillId="0" borderId="1" xfId="0" applyNumberFormat="1" applyFont="1" applyBorder="1" applyAlignment="1">
      <alignment horizontal="center" vertical="center"/>
    </xf>
    <xf numFmtId="4" fontId="13" fillId="17" borderId="1" xfId="0" applyNumberFormat="1" applyFont="1" applyFill="1" applyBorder="1" applyAlignment="1">
      <alignment vertical="center"/>
    </xf>
    <xf numFmtId="4" fontId="13" fillId="17" borderId="1" xfId="0" applyNumberFormat="1" applyFont="1" applyFill="1" applyBorder="1" applyAlignment="1">
      <alignment horizontal="center" vertical="center"/>
    </xf>
    <xf numFmtId="222" fontId="13" fillId="0" borderId="1" xfId="0" applyNumberFormat="1" applyFont="1" applyFill="1" applyBorder="1" applyAlignment="1">
      <alignment horizontal="center" vertical="center"/>
    </xf>
    <xf numFmtId="222" fontId="16" fillId="0" borderId="1" xfId="4" applyNumberFormat="1" applyFont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left" vertical="center" wrapText="1"/>
    </xf>
    <xf numFmtId="222" fontId="14" fillId="6" borderId="1" xfId="0" applyNumberFormat="1" applyFont="1" applyFill="1" applyBorder="1" applyAlignment="1">
      <alignment horizontal="center" vertical="top"/>
    </xf>
    <xf numFmtId="1" fontId="16" fillId="16" borderId="1" xfId="3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top"/>
    </xf>
    <xf numFmtId="0" fontId="56" fillId="0" borderId="0" xfId="0" applyFont="1" applyFill="1" applyAlignment="1">
      <alignment vertical="top"/>
    </xf>
    <xf numFmtId="222" fontId="16" fillId="10" borderId="1" xfId="3" applyNumberFormat="1" applyFont="1" applyFill="1" applyBorder="1" applyAlignment="1">
      <alignment horizontal="center" vertical="center" wrapText="1"/>
    </xf>
    <xf numFmtId="0" fontId="52" fillId="14" borderId="1" xfId="0" applyFont="1" applyFill="1" applyBorder="1" applyAlignment="1">
      <alignment horizontal="center" vertical="top"/>
    </xf>
    <xf numFmtId="0" fontId="52" fillId="0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5" fillId="3" borderId="1" xfId="0" applyFont="1" applyFill="1" applyBorder="1" applyAlignment="1">
      <alignment vertical="top"/>
    </xf>
    <xf numFmtId="222" fontId="52" fillId="3" borderId="1" xfId="3" applyNumberFormat="1" applyFont="1" applyFill="1" applyBorder="1" applyAlignment="1">
      <alignment horizontal="center" vertical="center" wrapText="1"/>
    </xf>
    <xf numFmtId="222" fontId="16" fillId="3" borderId="1" xfId="3" applyNumberFormat="1" applyFont="1" applyFill="1" applyBorder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top"/>
    </xf>
    <xf numFmtId="222" fontId="13" fillId="3" borderId="1" xfId="0" applyNumberFormat="1" applyFont="1" applyFill="1" applyBorder="1" applyAlignment="1">
      <alignment horizontal="center" vertical="top"/>
    </xf>
    <xf numFmtId="222" fontId="13" fillId="3" borderId="1" xfId="0" applyNumberFormat="1" applyFont="1" applyFill="1" applyBorder="1" applyAlignment="1">
      <alignment horizontal="center" vertical="center"/>
    </xf>
    <xf numFmtId="222" fontId="14" fillId="3" borderId="1" xfId="0" applyNumberFormat="1" applyFont="1" applyFill="1" applyBorder="1" applyAlignment="1">
      <alignment vertical="top"/>
    </xf>
    <xf numFmtId="0" fontId="52" fillId="3" borderId="1" xfId="0" applyFont="1" applyFill="1" applyBorder="1" applyAlignment="1">
      <alignment vertical="top"/>
    </xf>
    <xf numFmtId="0" fontId="57" fillId="0" borderId="1" xfId="0" applyFont="1" applyBorder="1" applyAlignment="1">
      <alignment horizontal="left" vertical="center"/>
    </xf>
    <xf numFmtId="222" fontId="52" fillId="0" borderId="1" xfId="3" applyNumberFormat="1" applyFont="1" applyBorder="1" applyAlignment="1">
      <alignment horizontal="center" vertical="center" wrapText="1"/>
    </xf>
    <xf numFmtId="3" fontId="14" fillId="14" borderId="1" xfId="0" applyNumberFormat="1" applyFont="1" applyFill="1" applyBorder="1" applyAlignment="1">
      <alignment horizontal="center" vertical="top"/>
    </xf>
    <xf numFmtId="3" fontId="14" fillId="13" borderId="1" xfId="0" applyNumberFormat="1" applyFont="1" applyFill="1" applyBorder="1" applyAlignment="1">
      <alignment horizontal="center" vertical="top"/>
    </xf>
    <xf numFmtId="224" fontId="52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4" fontId="58" fillId="2" borderId="1" xfId="0" applyNumberFormat="1" applyFont="1" applyFill="1" applyBorder="1" applyAlignment="1">
      <alignment horizontal="left" vertical="top"/>
    </xf>
    <xf numFmtId="222" fontId="52" fillId="10" borderId="1" xfId="0" applyNumberFormat="1" applyFont="1" applyFill="1" applyBorder="1" applyAlignment="1">
      <alignment horizontal="center" vertical="top"/>
    </xf>
    <xf numFmtId="3" fontId="52" fillId="11" borderId="1" xfId="0" applyNumberFormat="1" applyFont="1" applyFill="1" applyBorder="1" applyAlignment="1">
      <alignment horizontal="center" vertical="top"/>
    </xf>
    <xf numFmtId="224" fontId="52" fillId="0" borderId="1" xfId="3" applyNumberFormat="1" applyFont="1" applyFill="1" applyBorder="1" applyAlignment="1">
      <alignment horizontal="center" vertical="center" wrapText="1"/>
    </xf>
    <xf numFmtId="224" fontId="52" fillId="9" borderId="1" xfId="3" applyNumberFormat="1" applyFont="1" applyFill="1" applyBorder="1" applyAlignment="1">
      <alignment horizontal="center" vertical="center" wrapText="1"/>
    </xf>
    <xf numFmtId="4" fontId="52" fillId="17" borderId="1" xfId="0" applyNumberFormat="1" applyFont="1" applyFill="1" applyBorder="1" applyAlignment="1">
      <alignment horizontal="center" vertical="top"/>
    </xf>
    <xf numFmtId="4" fontId="52" fillId="0" borderId="1" xfId="0" applyNumberFormat="1" applyFont="1" applyFill="1" applyBorder="1" applyAlignment="1">
      <alignment horizontal="center" vertical="top"/>
    </xf>
    <xf numFmtId="222" fontId="52" fillId="0" borderId="1" xfId="4" applyNumberFormat="1" applyFont="1" applyFill="1" applyBorder="1" applyAlignment="1">
      <alignment horizontal="center" vertical="center" shrinkToFit="1"/>
    </xf>
    <xf numFmtId="222" fontId="52" fillId="0" borderId="1" xfId="0" applyNumberFormat="1" applyFont="1" applyFill="1" applyBorder="1" applyAlignment="1">
      <alignment horizontal="center" vertical="center"/>
    </xf>
    <xf numFmtId="222" fontId="52" fillId="12" borderId="1" xfId="0" applyNumberFormat="1" applyFont="1" applyFill="1" applyBorder="1" applyAlignment="1">
      <alignment vertical="top"/>
    </xf>
    <xf numFmtId="222" fontId="52" fillId="6" borderId="1" xfId="0" applyNumberFormat="1" applyFont="1" applyFill="1" applyBorder="1" applyAlignment="1">
      <alignment vertical="top"/>
    </xf>
    <xf numFmtId="1" fontId="52" fillId="2" borderId="1" xfId="0" applyNumberFormat="1" applyFont="1" applyFill="1" applyBorder="1" applyAlignment="1">
      <alignment horizontal="center" vertical="top"/>
    </xf>
    <xf numFmtId="0" fontId="52" fillId="0" borderId="1" xfId="0" applyFont="1" applyBorder="1" applyAlignment="1">
      <alignment horizontal="left" vertical="center"/>
    </xf>
    <xf numFmtId="0" fontId="55" fillId="3" borderId="1" xfId="0" applyFont="1" applyFill="1" applyBorder="1"/>
    <xf numFmtId="0" fontId="57" fillId="0" borderId="1" xfId="0" applyFont="1" applyBorder="1"/>
    <xf numFmtId="0" fontId="57" fillId="0" borderId="1" xfId="0" applyFont="1" applyBorder="1" applyAlignment="1">
      <alignment horizontal="left"/>
    </xf>
    <xf numFmtId="222" fontId="16" fillId="17" borderId="1" xfId="3" applyNumberFormat="1" applyFont="1" applyFill="1" applyBorder="1" applyAlignment="1">
      <alignment horizontal="center" vertical="center" shrinkToFit="1"/>
    </xf>
    <xf numFmtId="0" fontId="57" fillId="0" borderId="1" xfId="0" applyFont="1" applyFill="1" applyBorder="1" applyAlignment="1">
      <alignment horizontal="left"/>
    </xf>
    <xf numFmtId="224" fontId="51" fillId="0" borderId="1" xfId="0" applyNumberFormat="1" applyFont="1" applyFill="1" applyBorder="1" applyAlignment="1">
      <alignment horizontal="center" vertical="top"/>
    </xf>
    <xf numFmtId="0" fontId="58" fillId="0" borderId="1" xfId="0" applyFont="1" applyBorder="1" applyAlignment="1">
      <alignment horizontal="left"/>
    </xf>
    <xf numFmtId="222" fontId="55" fillId="3" borderId="1" xfId="0" applyNumberFormat="1" applyFont="1" applyFill="1" applyBorder="1"/>
    <xf numFmtId="224" fontId="16" fillId="3" borderId="1" xfId="3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top"/>
    </xf>
    <xf numFmtId="222" fontId="16" fillId="18" borderId="1" xfId="4" applyNumberFormat="1" applyFont="1" applyFill="1" applyBorder="1" applyAlignment="1">
      <alignment horizontal="center" vertical="center" shrinkToFit="1"/>
    </xf>
    <xf numFmtId="4" fontId="14" fillId="3" borderId="1" xfId="0" applyNumberFormat="1" applyFont="1" applyFill="1" applyBorder="1" applyAlignment="1">
      <alignment horizontal="center" vertical="top"/>
    </xf>
    <xf numFmtId="222" fontId="16" fillId="6" borderId="1" xfId="3" applyNumberFormat="1" applyFont="1" applyFill="1" applyBorder="1" applyAlignment="1">
      <alignment horizontal="center" vertical="center" wrapText="1"/>
    </xf>
    <xf numFmtId="0" fontId="16" fillId="16" borderId="1" xfId="3" applyNumberFormat="1" applyFont="1" applyFill="1" applyBorder="1" applyAlignment="1">
      <alignment horizontal="center" vertical="center" wrapText="1"/>
    </xf>
    <xf numFmtId="222" fontId="52" fillId="0" borderId="1" xfId="0" applyNumberFormat="1" applyFont="1" applyFill="1" applyBorder="1" applyAlignment="1">
      <alignment vertical="top"/>
    </xf>
    <xf numFmtId="0" fontId="16" fillId="14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 wrapText="1"/>
    </xf>
    <xf numFmtId="0" fontId="14" fillId="4" borderId="1" xfId="3" applyFont="1" applyFill="1" applyBorder="1" applyAlignment="1">
      <alignment vertical="center" wrapText="1"/>
    </xf>
    <xf numFmtId="222" fontId="16" fillId="0" borderId="1" xfId="3" applyNumberFormat="1" applyFont="1" applyBorder="1" applyAlignment="1">
      <alignment horizontal="center" vertical="center" wrapText="1"/>
    </xf>
    <xf numFmtId="222" fontId="16" fillId="0" borderId="1" xfId="3" applyNumberFormat="1" applyFont="1" applyBorder="1" applyAlignment="1">
      <alignment horizontal="center" vertical="center" shrinkToFit="1"/>
    </xf>
    <xf numFmtId="2" fontId="52" fillId="13" borderId="1" xfId="0" applyNumberFormat="1" applyFont="1" applyFill="1" applyBorder="1" applyAlignment="1">
      <alignment horizontal="center" vertical="top"/>
    </xf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vertical="center" wrapText="1"/>
    </xf>
    <xf numFmtId="222" fontId="52" fillId="2" borderId="1" xfId="0" applyNumberFormat="1" applyFont="1" applyFill="1" applyBorder="1" applyAlignment="1">
      <alignment horizontal="center" vertical="top"/>
    </xf>
    <xf numFmtId="0" fontId="14" fillId="11" borderId="1" xfId="0" applyNumberFormat="1" applyFont="1" applyFill="1" applyBorder="1" applyAlignment="1">
      <alignment horizontal="center" vertical="top"/>
    </xf>
    <xf numFmtId="0" fontId="55" fillId="3" borderId="1" xfId="0" applyFont="1" applyFill="1" applyBorder="1" applyAlignment="1">
      <alignment horizontal="left" vertical="top"/>
    </xf>
    <xf numFmtId="0" fontId="52" fillId="3" borderId="1" xfId="0" applyFont="1" applyFill="1" applyBorder="1" applyAlignment="1">
      <alignment horizontal="center" vertical="top"/>
    </xf>
    <xf numFmtId="222" fontId="14" fillId="3" borderId="1" xfId="0" applyNumberFormat="1" applyFont="1" applyFill="1" applyBorder="1" applyAlignment="1">
      <alignment horizontal="center" vertical="center"/>
    </xf>
    <xf numFmtId="222" fontId="52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22" fontId="14" fillId="0" borderId="1" xfId="0" applyNumberFormat="1" applyFont="1" applyFill="1" applyBorder="1" applyAlignment="1">
      <alignment vertical="center"/>
    </xf>
    <xf numFmtId="222" fontId="52" fillId="4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222" fontId="52" fillId="3" borderId="1" xfId="0" applyNumberFormat="1" applyFont="1" applyFill="1" applyBorder="1" applyAlignment="1">
      <alignment vertical="top"/>
    </xf>
    <xf numFmtId="222" fontId="14" fillId="12" borderId="1" xfId="0" applyNumberFormat="1" applyFont="1" applyFill="1" applyBorder="1" applyAlignment="1">
      <alignment horizontal="center" vertical="top"/>
    </xf>
    <xf numFmtId="222" fontId="52" fillId="14" borderId="1" xfId="0" applyNumberFormat="1" applyFont="1" applyFill="1" applyBorder="1" applyAlignment="1">
      <alignment horizontal="center" vertical="top"/>
    </xf>
    <xf numFmtId="0" fontId="52" fillId="0" borderId="1" xfId="0" applyFont="1" applyBorder="1" applyAlignment="1">
      <alignment vertical="top" wrapText="1"/>
    </xf>
    <xf numFmtId="224" fontId="14" fillId="12" borderId="1" xfId="0" applyNumberFormat="1" applyFont="1" applyFill="1" applyBorder="1" applyAlignment="1">
      <alignment horizontal="center" vertical="top"/>
    </xf>
    <xf numFmtId="0" fontId="55" fillId="15" borderId="1" xfId="0" applyFont="1" applyFill="1" applyBorder="1" applyAlignment="1">
      <alignment vertical="top"/>
    </xf>
    <xf numFmtId="222" fontId="52" fillId="15" borderId="1" xfId="3" applyNumberFormat="1" applyFont="1" applyFill="1" applyBorder="1" applyAlignment="1">
      <alignment horizontal="center" vertical="center" wrapText="1"/>
    </xf>
    <xf numFmtId="0" fontId="52" fillId="15" borderId="1" xfId="0" applyFont="1" applyFill="1" applyBorder="1" applyAlignment="1">
      <alignment vertical="top"/>
    </xf>
    <xf numFmtId="0" fontId="51" fillId="15" borderId="0" xfId="0" applyFont="1" applyFill="1" applyAlignment="1">
      <alignment vertical="top"/>
    </xf>
    <xf numFmtId="222" fontId="14" fillId="11" borderId="1" xfId="0" applyNumberFormat="1" applyFont="1" applyFill="1" applyBorder="1" applyAlignment="1">
      <alignment horizontal="center" vertical="top"/>
    </xf>
    <xf numFmtId="222" fontId="14" fillId="13" borderId="1" xfId="0" applyNumberFormat="1" applyFont="1" applyFill="1" applyBorder="1" applyAlignment="1">
      <alignment horizontal="center" vertical="top"/>
    </xf>
    <xf numFmtId="222" fontId="14" fillId="0" borderId="1" xfId="0" applyNumberFormat="1" applyFont="1" applyFill="1" applyBorder="1" applyAlignment="1">
      <alignment vertical="top"/>
    </xf>
    <xf numFmtId="0" fontId="52" fillId="6" borderId="1" xfId="0" applyFont="1" applyFill="1" applyBorder="1" applyAlignment="1">
      <alignment vertical="top"/>
    </xf>
    <xf numFmtId="43" fontId="14" fillId="6" borderId="1" xfId="2" applyFont="1" applyFill="1" applyBorder="1" applyAlignment="1">
      <alignment horizontal="center" vertical="top"/>
    </xf>
    <xf numFmtId="0" fontId="14" fillId="6" borderId="1" xfId="0" applyNumberFormat="1" applyFont="1" applyFill="1" applyBorder="1" applyAlignment="1">
      <alignment horizontal="center" vertical="top"/>
    </xf>
    <xf numFmtId="0" fontId="51" fillId="6" borderId="0" xfId="0" applyFont="1" applyFill="1" applyAlignment="1">
      <alignment vertical="top"/>
    </xf>
    <xf numFmtId="0" fontId="58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center" vertical="top"/>
    </xf>
    <xf numFmtId="200" fontId="14" fillId="0" borderId="0" xfId="2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52" fillId="3" borderId="1" xfId="3" applyNumberFormat="1" applyFont="1" applyFill="1" applyBorder="1" applyAlignment="1">
      <alignment horizontal="center" vertical="center" wrapText="1"/>
    </xf>
    <xf numFmtId="222" fontId="14" fillId="4" borderId="1" xfId="0" applyNumberFormat="1" applyFont="1" applyFill="1" applyBorder="1" applyAlignment="1">
      <alignment vertical="top"/>
    </xf>
    <xf numFmtId="43" fontId="52" fillId="3" borderId="1" xfId="2" applyFont="1" applyFill="1" applyBorder="1" applyAlignment="1">
      <alignment horizontal="center" vertical="top"/>
    </xf>
    <xf numFmtId="222" fontId="14" fillId="16" borderId="1" xfId="0" applyNumberFormat="1" applyFont="1" applyFill="1" applyBorder="1" applyAlignment="1">
      <alignment horizontal="center" vertical="top"/>
    </xf>
    <xf numFmtId="222" fontId="16" fillId="16" borderId="1" xfId="3" applyNumberFormat="1" applyFont="1" applyFill="1" applyBorder="1" applyAlignment="1">
      <alignment horizontal="center" vertical="center" wrapText="1"/>
    </xf>
    <xf numFmtId="222" fontId="14" fillId="11" borderId="1" xfId="0" applyNumberFormat="1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vertical="top"/>
    </xf>
    <xf numFmtId="222" fontId="11" fillId="6" borderId="1" xfId="0" applyNumberFormat="1" applyFont="1" applyFill="1" applyBorder="1" applyAlignment="1">
      <alignment horizontal="center" vertical="top"/>
    </xf>
    <xf numFmtId="222" fontId="14" fillId="0" borderId="1" xfId="3" applyNumberFormat="1" applyFont="1" applyFill="1" applyBorder="1" applyAlignment="1">
      <alignment vertical="center" wrapText="1"/>
    </xf>
    <xf numFmtId="222" fontId="14" fillId="4" borderId="1" xfId="3" applyNumberFormat="1" applyFont="1" applyFill="1" applyBorder="1" applyAlignment="1">
      <alignment vertical="center" wrapText="1"/>
    </xf>
    <xf numFmtId="222" fontId="14" fillId="0" borderId="1" xfId="3" applyNumberFormat="1" applyFont="1" applyBorder="1" applyAlignment="1">
      <alignment vertical="center" wrapText="1"/>
    </xf>
    <xf numFmtId="222" fontId="16" fillId="0" borderId="1" xfId="3" applyNumberFormat="1" applyFont="1" applyBorder="1" applyAlignment="1">
      <alignment vertical="center" wrapText="1"/>
    </xf>
    <xf numFmtId="222" fontId="14" fillId="4" borderId="1" xfId="0" applyNumberFormat="1" applyFont="1" applyFill="1" applyBorder="1" applyAlignment="1">
      <alignment horizontal="center" vertical="top"/>
    </xf>
    <xf numFmtId="0" fontId="46" fillId="8" borderId="1" xfId="0" applyFont="1" applyFill="1" applyBorder="1" applyAlignment="1">
      <alignment horizontal="center" vertical="top"/>
    </xf>
    <xf numFmtId="0" fontId="10" fillId="8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 wrapText="1"/>
    </xf>
    <xf numFmtId="222" fontId="14" fillId="0" borderId="0" xfId="0" applyNumberFormat="1" applyFont="1" applyFill="1" applyBorder="1" applyAlignment="1">
      <alignment horizontal="center" vertical="top"/>
    </xf>
    <xf numFmtId="43" fontId="14" fillId="3" borderId="1" xfId="2" applyFont="1" applyFill="1" applyBorder="1" applyAlignment="1">
      <alignment horizontal="center" vertical="top"/>
    </xf>
    <xf numFmtId="43" fontId="16" fillId="3" borderId="1" xfId="2" applyFont="1" applyFill="1" applyBorder="1" applyAlignment="1">
      <alignment horizontal="center" vertical="center" wrapText="1"/>
    </xf>
    <xf numFmtId="43" fontId="13" fillId="3" borderId="1" xfId="2" applyFont="1" applyFill="1" applyBorder="1" applyAlignment="1">
      <alignment horizontal="center" vertical="center"/>
    </xf>
    <xf numFmtId="43" fontId="13" fillId="3" borderId="1" xfId="2" applyFont="1" applyFill="1" applyBorder="1" applyAlignment="1">
      <alignment horizontal="center" vertical="top"/>
    </xf>
    <xf numFmtId="200" fontId="52" fillId="3" borderId="1" xfId="2" applyNumberFormat="1" applyFont="1" applyFill="1" applyBorder="1" applyAlignment="1">
      <alignment horizontal="center" vertical="top"/>
    </xf>
    <xf numFmtId="200" fontId="14" fillId="3" borderId="1" xfId="2" applyNumberFormat="1" applyFont="1" applyFill="1" applyBorder="1" applyAlignment="1">
      <alignment horizontal="center" vertical="top"/>
    </xf>
    <xf numFmtId="200" fontId="13" fillId="3" borderId="1" xfId="2" applyNumberFormat="1" applyFont="1" applyFill="1" applyBorder="1" applyAlignment="1">
      <alignment horizontal="center" vertical="center"/>
    </xf>
    <xf numFmtId="0" fontId="5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222" fontId="10" fillId="0" borderId="1" xfId="0" applyNumberFormat="1" applyFont="1" applyFill="1" applyBorder="1" applyAlignment="1">
      <alignment horizontal="center" vertical="top"/>
    </xf>
    <xf numFmtId="3" fontId="20" fillId="3" borderId="1" xfId="0" applyNumberFormat="1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left" vertical="top"/>
    </xf>
    <xf numFmtId="4" fontId="20" fillId="2" borderId="1" xfId="0" applyNumberFormat="1" applyFont="1" applyFill="1" applyBorder="1" applyAlignment="1">
      <alignment horizontal="left" vertical="top"/>
    </xf>
    <xf numFmtId="2" fontId="20" fillId="3" borderId="1" xfId="0" applyNumberFormat="1" applyFont="1" applyFill="1" applyBorder="1" applyAlignment="1">
      <alignment horizontal="left" vertical="top"/>
    </xf>
    <xf numFmtId="4" fontId="20" fillId="3" borderId="1" xfId="0" applyNumberFormat="1" applyFont="1" applyFill="1" applyBorder="1" applyAlignment="1">
      <alignment horizontal="left" vertical="top"/>
    </xf>
    <xf numFmtId="4" fontId="60" fillId="2" borderId="1" xfId="0" applyNumberFormat="1" applyFont="1" applyFill="1" applyBorder="1" applyAlignment="1">
      <alignment horizontal="left" vertical="top"/>
    </xf>
    <xf numFmtId="0" fontId="61" fillId="3" borderId="1" xfId="0" applyFont="1" applyFill="1" applyBorder="1" applyAlignment="1">
      <alignment horizontal="left"/>
    </xf>
    <xf numFmtId="0" fontId="62" fillId="0" borderId="1" xfId="0" applyFont="1" applyBorder="1" applyAlignment="1">
      <alignment horizontal="left"/>
    </xf>
    <xf numFmtId="0" fontId="62" fillId="0" borderId="1" xfId="0" applyFont="1" applyFill="1" applyBorder="1" applyAlignment="1">
      <alignment horizontal="left"/>
    </xf>
    <xf numFmtId="0" fontId="60" fillId="0" borderId="1" xfId="0" applyFont="1" applyBorder="1" applyAlignment="1">
      <alignment horizontal="left"/>
    </xf>
    <xf numFmtId="222" fontId="62" fillId="3" borderId="1" xfId="0" applyNumberFormat="1" applyFont="1" applyFill="1" applyBorder="1" applyAlignment="1">
      <alignment horizontal="left" vertical="top"/>
    </xf>
    <xf numFmtId="0" fontId="61" fillId="0" borderId="1" xfId="0" applyFont="1" applyBorder="1" applyAlignment="1">
      <alignment horizontal="left" vertical="top"/>
    </xf>
    <xf numFmtId="0" fontId="61" fillId="3" borderId="1" xfId="0" applyFont="1" applyFill="1" applyBorder="1" applyAlignment="1">
      <alignment horizontal="left" vertical="top"/>
    </xf>
    <xf numFmtId="222" fontId="61" fillId="3" borderId="1" xfId="0" applyNumberFormat="1" applyFont="1" applyFill="1" applyBorder="1" applyAlignment="1">
      <alignment horizontal="left" vertical="top"/>
    </xf>
    <xf numFmtId="0" fontId="61" fillId="15" borderId="1" xfId="0" applyFont="1" applyFill="1" applyBorder="1" applyAlignment="1">
      <alignment horizontal="left" vertical="top"/>
    </xf>
    <xf numFmtId="0" fontId="61" fillId="6" borderId="1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left" vertical="top"/>
    </xf>
    <xf numFmtId="4" fontId="14" fillId="2" borderId="1" xfId="0" applyNumberFormat="1" applyFont="1" applyFill="1" applyBorder="1" applyAlignment="1">
      <alignment horizontal="left" vertical="center"/>
    </xf>
    <xf numFmtId="222" fontId="10" fillId="8" borderId="1" xfId="0" applyNumberFormat="1" applyFont="1" applyFill="1" applyBorder="1" applyAlignment="1">
      <alignment horizontal="center" vertical="top"/>
    </xf>
    <xf numFmtId="3" fontId="13" fillId="3" borderId="1" xfId="0" applyNumberFormat="1" applyFont="1" applyFill="1" applyBorder="1" applyAlignment="1">
      <alignment horizontal="left" vertical="top"/>
    </xf>
    <xf numFmtId="224" fontId="13" fillId="3" borderId="1" xfId="0" applyNumberFormat="1" applyFont="1" applyFill="1" applyBorder="1" applyAlignment="1">
      <alignment horizontal="center" vertical="top"/>
    </xf>
    <xf numFmtId="222" fontId="43" fillId="3" borderId="0" xfId="0" applyNumberFormat="1" applyFont="1" applyFill="1" applyAlignment="1">
      <alignment vertical="top"/>
    </xf>
    <xf numFmtId="2" fontId="13" fillId="3" borderId="1" xfId="0" applyNumberFormat="1" applyFont="1" applyFill="1" applyBorder="1" applyAlignment="1">
      <alignment horizontal="left" vertical="top"/>
    </xf>
    <xf numFmtId="222" fontId="55" fillId="3" borderId="1" xfId="0" applyNumberFormat="1" applyFont="1" applyFill="1" applyBorder="1" applyAlignment="1">
      <alignment horizontal="center" vertical="top"/>
    </xf>
    <xf numFmtId="224" fontId="55" fillId="3" borderId="1" xfId="0" applyNumberFormat="1" applyFont="1" applyFill="1" applyBorder="1" applyAlignment="1">
      <alignment horizontal="center" vertical="top"/>
    </xf>
    <xf numFmtId="0" fontId="43" fillId="3" borderId="0" xfId="0" applyFont="1" applyFill="1" applyAlignment="1">
      <alignment vertical="top"/>
    </xf>
    <xf numFmtId="4" fontId="13" fillId="3" borderId="1" xfId="0" applyNumberFormat="1" applyFont="1" applyFill="1" applyBorder="1" applyAlignment="1">
      <alignment horizontal="left" vertical="top"/>
    </xf>
    <xf numFmtId="222" fontId="55" fillId="3" borderId="1" xfId="3" applyNumberFormat="1" applyFont="1" applyFill="1" applyBorder="1" applyAlignment="1">
      <alignment horizontal="center" vertical="center" wrapText="1"/>
    </xf>
    <xf numFmtId="222" fontId="15" fillId="3" borderId="1" xfId="3" applyNumberFormat="1" applyFont="1" applyFill="1" applyBorder="1" applyAlignment="1">
      <alignment horizontal="center" vertical="center" wrapText="1"/>
    </xf>
    <xf numFmtId="224" fontId="55" fillId="3" borderId="1" xfId="3" applyNumberFormat="1" applyFont="1" applyFill="1" applyBorder="1" applyAlignment="1">
      <alignment horizontal="center" vertical="center" wrapText="1"/>
    </xf>
    <xf numFmtId="0" fontId="65" fillId="3" borderId="0" xfId="0" applyFont="1" applyFill="1" applyAlignment="1">
      <alignment vertical="top"/>
    </xf>
    <xf numFmtId="0" fontId="55" fillId="3" borderId="1" xfId="0" applyFont="1" applyFill="1" applyBorder="1" applyAlignment="1">
      <alignment horizontal="left"/>
    </xf>
    <xf numFmtId="222" fontId="66" fillId="3" borderId="1" xfId="0" applyNumberFormat="1" applyFont="1" applyFill="1" applyBorder="1" applyAlignment="1">
      <alignment horizontal="left" vertical="top"/>
    </xf>
    <xf numFmtId="222" fontId="65" fillId="0" borderId="0" xfId="0" applyNumberFormat="1" applyFont="1" applyFill="1" applyAlignment="1">
      <alignment vertical="top"/>
    </xf>
    <xf numFmtId="0" fontId="65" fillId="0" borderId="0" xfId="0" applyFont="1" applyFill="1" applyAlignment="1">
      <alignment vertical="top"/>
    </xf>
    <xf numFmtId="0" fontId="52" fillId="0" borderId="1" xfId="0" applyFont="1" applyBorder="1" applyAlignment="1">
      <alignment horizontal="left" vertical="center"/>
    </xf>
    <xf numFmtId="222" fontId="14" fillId="0" borderId="1" xfId="0" applyNumberFormat="1" applyFont="1" applyBorder="1" applyAlignment="1">
      <alignment horizontal="center" vertical="top"/>
    </xf>
    <xf numFmtId="222" fontId="52" fillId="2" borderId="1" xfId="3" applyNumberFormat="1" applyFont="1" applyFill="1" applyBorder="1" applyAlignment="1">
      <alignment horizontal="center" vertical="center" wrapText="1"/>
    </xf>
    <xf numFmtId="222" fontId="52" fillId="19" borderId="1" xfId="3" applyNumberFormat="1" applyFont="1" applyFill="1" applyBorder="1" applyAlignment="1">
      <alignment horizontal="center" vertical="center" wrapText="1"/>
    </xf>
    <xf numFmtId="222" fontId="52" fillId="19" borderId="1" xfId="0" applyNumberFormat="1" applyFont="1" applyFill="1" applyBorder="1" applyAlignment="1">
      <alignment horizontal="center" vertical="center"/>
    </xf>
    <xf numFmtId="3" fontId="14" fillId="20" borderId="1" xfId="0" applyNumberFormat="1" applyFont="1" applyFill="1" applyBorder="1" applyAlignment="1">
      <alignment horizontal="center" vertical="top"/>
    </xf>
    <xf numFmtId="222" fontId="14" fillId="0" borderId="1" xfId="0" applyNumberFormat="1" applyFont="1" applyBorder="1" applyAlignment="1">
      <alignment horizontal="center" vertical="center"/>
    </xf>
    <xf numFmtId="222" fontId="14" fillId="21" borderId="1" xfId="0" applyNumberFormat="1" applyFont="1" applyFill="1" applyBorder="1" applyAlignment="1">
      <alignment horizontal="center" vertical="center"/>
    </xf>
    <xf numFmtId="3" fontId="14" fillId="20" borderId="1" xfId="0" applyNumberFormat="1" applyFont="1" applyFill="1" applyBorder="1" applyAlignment="1">
      <alignment horizontal="center" vertical="center"/>
    </xf>
    <xf numFmtId="222" fontId="14" fillId="21" borderId="1" xfId="0" applyNumberFormat="1" applyFont="1" applyFill="1" applyBorder="1" applyAlignment="1">
      <alignment horizontal="center" vertical="top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top"/>
    </xf>
    <xf numFmtId="222" fontId="52" fillId="22" borderId="1" xfId="3" applyNumberFormat="1" applyFont="1" applyFill="1" applyBorder="1" applyAlignment="1">
      <alignment horizontal="center" vertical="center" wrapText="1"/>
    </xf>
    <xf numFmtId="222" fontId="52" fillId="22" borderId="1" xfId="0" applyNumberFormat="1" applyFont="1" applyFill="1" applyBorder="1" applyAlignment="1">
      <alignment horizontal="center" vertical="center"/>
    </xf>
    <xf numFmtId="222" fontId="52" fillId="22" borderId="1" xfId="0" applyNumberFormat="1" applyFont="1" applyFill="1" applyBorder="1" applyAlignment="1">
      <alignment horizontal="center" vertical="top"/>
    </xf>
    <xf numFmtId="0" fontId="5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top"/>
    </xf>
    <xf numFmtId="0" fontId="46" fillId="0" borderId="0" xfId="0" applyFont="1"/>
    <xf numFmtId="0" fontId="67" fillId="0" borderId="0" xfId="0" applyFont="1"/>
    <xf numFmtId="0" fontId="55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 vertical="top"/>
    </xf>
    <xf numFmtId="0" fontId="52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43" fontId="14" fillId="4" borderId="1" xfId="2" applyFont="1" applyFill="1" applyBorder="1" applyAlignment="1">
      <alignment horizontal="center" vertical="top"/>
    </xf>
    <xf numFmtId="43" fontId="16" fillId="4" borderId="1" xfId="2" applyFont="1" applyFill="1" applyBorder="1" applyAlignment="1">
      <alignment horizontal="center" vertical="top"/>
    </xf>
    <xf numFmtId="43" fontId="14" fillId="4" borderId="1" xfId="2" applyFont="1" applyFill="1" applyBorder="1" applyAlignment="1">
      <alignment vertical="top"/>
    </xf>
    <xf numFmtId="43" fontId="14" fillId="3" borderId="1" xfId="2" applyFont="1" applyFill="1" applyBorder="1" applyAlignment="1">
      <alignment vertical="top"/>
    </xf>
    <xf numFmtId="43" fontId="14" fillId="4" borderId="1" xfId="2" applyFont="1" applyFill="1" applyBorder="1" applyAlignment="1">
      <alignment vertical="center" wrapText="1"/>
    </xf>
    <xf numFmtId="43" fontId="52" fillId="3" borderId="1" xfId="2" applyFont="1" applyFill="1" applyBorder="1" applyAlignment="1">
      <alignment horizontal="center" vertical="center"/>
    </xf>
    <xf numFmtId="43" fontId="52" fillId="4" borderId="1" xfId="2" applyFont="1" applyFill="1" applyBorder="1" applyAlignment="1">
      <alignment vertical="center"/>
    </xf>
    <xf numFmtId="43" fontId="52" fillId="15" borderId="1" xfId="2" applyFont="1" applyFill="1" applyBorder="1" applyAlignment="1">
      <alignment horizontal="center" vertical="center" wrapText="1"/>
    </xf>
    <xf numFmtId="43" fontId="14" fillId="13" borderId="1" xfId="2" applyFont="1" applyFill="1" applyBorder="1" applyAlignment="1">
      <alignment horizontal="center" vertical="top"/>
    </xf>
    <xf numFmtId="43" fontId="16" fillId="13" borderId="1" xfId="2" applyFont="1" applyFill="1" applyBorder="1" applyAlignment="1">
      <alignment horizontal="center" vertical="top"/>
    </xf>
    <xf numFmtId="43" fontId="52" fillId="13" borderId="1" xfId="2" applyFont="1" applyFill="1" applyBorder="1" applyAlignment="1">
      <alignment horizontal="center" vertical="top"/>
    </xf>
    <xf numFmtId="43" fontId="14" fillId="0" borderId="0" xfId="2" applyFont="1" applyFill="1" applyBorder="1" applyAlignment="1">
      <alignment horizontal="center" vertical="top"/>
    </xf>
    <xf numFmtId="43" fontId="40" fillId="0" borderId="0" xfId="2" applyFont="1" applyFill="1" applyAlignment="1">
      <alignment horizontal="center" vertical="top"/>
    </xf>
    <xf numFmtId="43" fontId="40" fillId="13" borderId="0" xfId="2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8" fillId="0" borderId="2" xfId="0" applyFont="1" applyBorder="1" applyAlignment="1">
      <alignment horizontal="left" vertical="center"/>
    </xf>
    <xf numFmtId="0" fontId="58" fillId="0" borderId="4" xfId="0" applyFont="1" applyBorder="1" applyAlignment="1">
      <alignment horizontal="left" vertic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1" fontId="35" fillId="0" borderId="1" xfId="0" applyNumberFormat="1" applyFont="1" applyFill="1" applyBorder="1" applyAlignment="1">
      <alignment horizontal="center" vertical="center" textRotation="90"/>
    </xf>
    <xf numFmtId="0" fontId="8" fillId="14" borderId="1" xfId="0" applyFont="1" applyFill="1" applyBorder="1" applyAlignment="1">
      <alignment horizontal="center" vertical="top" wrapText="1"/>
    </xf>
    <xf numFmtId="43" fontId="8" fillId="13" borderId="1" xfId="2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224" fontId="34" fillId="0" borderId="1" xfId="0" applyNumberFormat="1" applyFont="1" applyBorder="1" applyAlignment="1">
      <alignment horizontal="center" vertical="top" wrapText="1"/>
    </xf>
    <xf numFmtId="1" fontId="35" fillId="4" borderId="1" xfId="0" applyNumberFormat="1" applyFont="1" applyFill="1" applyBorder="1" applyAlignment="1">
      <alignment horizontal="center" vertical="center" textRotation="90"/>
    </xf>
    <xf numFmtId="222" fontId="8" fillId="6" borderId="1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22" fontId="8" fillId="1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222" fontId="8" fillId="11" borderId="1" xfId="0" applyNumberFormat="1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222" fontId="8" fillId="0" borderId="1" xfId="0" applyNumberFormat="1" applyFont="1" applyFill="1" applyBorder="1" applyAlignment="1">
      <alignment horizontal="center" vertical="top" wrapText="1"/>
    </xf>
    <xf numFmtId="222" fontId="8" fillId="12" borderId="1" xfId="0" applyNumberFormat="1" applyFont="1" applyFill="1" applyBorder="1" applyAlignment="1">
      <alignment horizontal="center" vertical="top" wrapText="1"/>
    </xf>
    <xf numFmtId="224" fontId="8" fillId="9" borderId="1" xfId="0" applyNumberFormat="1" applyFont="1" applyFill="1" applyBorder="1" applyAlignment="1">
      <alignment horizontal="center" vertical="top" wrapText="1"/>
    </xf>
    <xf numFmtId="222" fontId="34" fillId="0" borderId="1" xfId="0" applyNumberFormat="1" applyFont="1" applyBorder="1" applyAlignment="1">
      <alignment horizontal="center" vertical="top" wrapText="1"/>
    </xf>
    <xf numFmtId="222" fontId="8" fillId="0" borderId="1" xfId="0" applyNumberFormat="1" applyFont="1" applyBorder="1" applyAlignment="1">
      <alignment horizontal="center" vertical="top" wrapText="1"/>
    </xf>
    <xf numFmtId="222" fontId="20" fillId="0" borderId="1" xfId="0" applyNumberFormat="1" applyFont="1" applyBorder="1" applyAlignment="1">
      <alignment horizontal="center" vertical="top" wrapText="1"/>
    </xf>
    <xf numFmtId="222" fontId="18" fillId="0" borderId="1" xfId="0" applyNumberFormat="1" applyFont="1" applyBorder="1" applyAlignment="1">
      <alignment horizontal="center" vertical="top" wrapText="1"/>
    </xf>
    <xf numFmtId="0" fontId="18" fillId="17" borderId="1" xfId="0" applyFont="1" applyFill="1" applyBorder="1" applyAlignment="1">
      <alignment horizontal="center" vertical="top" wrapText="1"/>
    </xf>
    <xf numFmtId="222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/>
    </xf>
    <xf numFmtId="222" fontId="18" fillId="11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222" fontId="18" fillId="12" borderId="1" xfId="0" applyNumberFormat="1" applyFont="1" applyFill="1" applyBorder="1" applyAlignment="1">
      <alignment horizontal="center" vertical="top" wrapText="1"/>
    </xf>
    <xf numFmtId="224" fontId="18" fillId="9" borderId="1" xfId="0" applyNumberFormat="1" applyFont="1" applyFill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center" textRotation="90"/>
    </xf>
    <xf numFmtId="1" fontId="13" fillId="0" borderId="1" xfId="0" applyNumberFormat="1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222" fontId="18" fillId="10" borderId="1" xfId="0" applyNumberFormat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top"/>
    </xf>
    <xf numFmtId="224" fontId="20" fillId="0" borderId="1" xfId="0" applyNumberFormat="1" applyFont="1" applyBorder="1" applyAlignment="1">
      <alignment horizontal="center" vertical="top" wrapText="1"/>
    </xf>
    <xf numFmtId="222" fontId="18" fillId="6" borderId="1" xfId="0" applyNumberFormat="1" applyFont="1" applyFill="1" applyBorder="1" applyAlignment="1">
      <alignment horizontal="center" vertical="top" wrapText="1"/>
    </xf>
    <xf numFmtId="0" fontId="18" fillId="14" borderId="1" xfId="0" applyFont="1" applyFill="1" applyBorder="1" applyAlignment="1">
      <alignment horizontal="center" vertical="top" wrapText="1"/>
    </xf>
    <xf numFmtId="0" fontId="18" fillId="13" borderId="1" xfId="0" applyFont="1" applyFill="1" applyBorder="1" applyAlignment="1">
      <alignment horizontal="center" vertical="top" wrapText="1"/>
    </xf>
    <xf numFmtId="0" fontId="6" fillId="23" borderId="2" xfId="0" applyFont="1" applyFill="1" applyBorder="1" applyAlignment="1">
      <alignment horizontal="center" vertical="top" wrapText="1"/>
    </xf>
    <xf numFmtId="0" fontId="6" fillId="23" borderId="3" xfId="0" applyFont="1" applyFill="1" applyBorder="1" applyAlignment="1">
      <alignment horizontal="center" vertical="top" wrapText="1"/>
    </xf>
    <xf numFmtId="0" fontId="6" fillId="23" borderId="4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1" fontId="6" fillId="23" borderId="2" xfId="0" applyNumberFormat="1" applyFont="1" applyFill="1" applyBorder="1" applyAlignment="1">
      <alignment horizontal="center" vertical="center" textRotation="90"/>
    </xf>
    <xf numFmtId="1" fontId="6" fillId="23" borderId="4" xfId="0" applyNumberFormat="1" applyFont="1" applyFill="1" applyBorder="1" applyAlignment="1">
      <alignment horizontal="center" vertical="center" textRotation="90"/>
    </xf>
    <xf numFmtId="0" fontId="6" fillId="23" borderId="5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3" borderId="7" xfId="0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textRotation="90"/>
    </xf>
    <xf numFmtId="1" fontId="6" fillId="8" borderId="4" xfId="0" applyNumberFormat="1" applyFont="1" applyFill="1" applyBorder="1" applyAlignment="1">
      <alignment horizontal="center" vertical="center" textRotation="90"/>
    </xf>
    <xf numFmtId="222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22" fontId="6" fillId="10" borderId="2" xfId="0" applyNumberFormat="1" applyFont="1" applyFill="1" applyBorder="1" applyAlignment="1">
      <alignment horizontal="center" vertical="center" wrapText="1"/>
    </xf>
    <xf numFmtId="222" fontId="6" fillId="10" borderId="3" xfId="0" applyNumberFormat="1" applyFont="1" applyFill="1" applyBorder="1" applyAlignment="1">
      <alignment horizontal="center" vertical="center" wrapText="1"/>
    </xf>
    <xf numFmtId="222" fontId="6" fillId="10" borderId="4" xfId="0" applyNumberFormat="1" applyFont="1" applyFill="1" applyBorder="1" applyAlignment="1">
      <alignment horizontal="center" vertical="center" wrapText="1"/>
    </xf>
    <xf numFmtId="222" fontId="6" fillId="11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Normal" xfId="0" builtinId="0"/>
    <cellStyle name="Normal 2" xfId="1"/>
    <cellStyle name="ปกติ_Sheet1" xfId="3"/>
    <cellStyle name="ปกติ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P131"/>
  <sheetViews>
    <sheetView tabSelected="1" view="pageBreakPreview" zoomScale="70" zoomScaleNormal="70" zoomScaleSheetLayoutView="7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O13" sqref="O13"/>
    </sheetView>
  </sheetViews>
  <sheetFormatPr defaultColWidth="8.375" defaultRowHeight="20.25" x14ac:dyDescent="0.2"/>
  <cols>
    <col min="1" max="1" width="32.375" style="2" customWidth="1"/>
    <col min="2" max="2" width="32.375" style="279" bestFit="1" customWidth="1"/>
    <col min="3" max="3" width="4.125" style="34" bestFit="1" customWidth="1"/>
    <col min="4" max="8" width="4.375" style="34" customWidth="1"/>
    <col min="9" max="9" width="5.25" style="34" bestFit="1" customWidth="1"/>
    <col min="10" max="10" width="5" style="34" bestFit="1" customWidth="1"/>
    <col min="11" max="11" width="8" style="34" bestFit="1" customWidth="1"/>
    <col min="12" max="12" width="9.875" style="34" customWidth="1"/>
    <col min="13" max="13" width="8.875" style="41" customWidth="1"/>
    <col min="14" max="14" width="13" style="34" bestFit="1" customWidth="1"/>
    <col min="15" max="15" width="10" style="34" customWidth="1"/>
    <col min="16" max="16" width="13" style="31" bestFit="1" customWidth="1"/>
    <col min="17" max="17" width="8.75" style="2" customWidth="1"/>
    <col min="18" max="18" width="10.75" style="2" hidden="1" customWidth="1"/>
    <col min="19" max="19" width="8.125" style="34" hidden="1" customWidth="1"/>
    <col min="20" max="20" width="10.375" style="32" bestFit="1" customWidth="1"/>
    <col min="21" max="21" width="8.125" style="32" customWidth="1"/>
    <col min="22" max="22" width="10.375" style="32" bestFit="1" customWidth="1"/>
    <col min="23" max="23" width="10.375" style="32" hidden="1" customWidth="1"/>
    <col min="24" max="24" width="8.875" style="54" hidden="1" customWidth="1"/>
    <col min="25" max="25" width="8.625" style="2" customWidth="1"/>
    <col min="26" max="26" width="7.125" style="2" hidden="1" customWidth="1"/>
    <col min="27" max="27" width="8" style="2" hidden="1" customWidth="1"/>
    <col min="28" max="28" width="9" style="34" hidden="1" customWidth="1"/>
    <col min="29" max="29" width="9" style="53" customWidth="1"/>
    <col min="30" max="30" width="9.625" style="339" bestFit="1" customWidth="1"/>
    <col min="31" max="31" width="6.375" style="2" customWidth="1"/>
    <col min="32" max="35" width="6.375" style="2" bestFit="1" customWidth="1"/>
    <col min="36" max="39" width="6.375" style="15" bestFit="1" customWidth="1"/>
    <col min="40" max="40" width="6.375" style="15" customWidth="1"/>
    <col min="41" max="41" width="36.375" style="2" bestFit="1" customWidth="1"/>
    <col min="42" max="16384" width="8.375" style="2"/>
  </cols>
  <sheetData>
    <row r="1" spans="1:42" ht="42" x14ac:dyDescent="0.2">
      <c r="A1" s="360" t="s">
        <v>197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63"/>
    </row>
    <row r="2" spans="1:42" ht="42" x14ac:dyDescent="0.2">
      <c r="A2" s="360" t="s">
        <v>360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63"/>
    </row>
    <row r="3" spans="1:42" s="231" customFormat="1" ht="45" customHeight="1" x14ac:dyDescent="0.2">
      <c r="A3" s="361" t="s">
        <v>200</v>
      </c>
      <c r="B3" s="361" t="s">
        <v>142</v>
      </c>
      <c r="C3" s="362" t="s">
        <v>143</v>
      </c>
      <c r="D3" s="363"/>
      <c r="E3" s="363"/>
      <c r="F3" s="363"/>
      <c r="G3" s="363"/>
      <c r="H3" s="363"/>
      <c r="I3" s="363"/>
      <c r="J3" s="363"/>
      <c r="K3" s="363"/>
      <c r="L3" s="364" t="s">
        <v>144</v>
      </c>
      <c r="M3" s="368" t="s">
        <v>145</v>
      </c>
      <c r="N3" s="356" t="s">
        <v>361</v>
      </c>
      <c r="O3" s="356"/>
      <c r="P3" s="356"/>
      <c r="Q3" s="369" t="s">
        <v>147</v>
      </c>
      <c r="R3" s="370" t="s">
        <v>362</v>
      </c>
      <c r="S3" s="369" t="s">
        <v>149</v>
      </c>
      <c r="T3" s="373" t="s">
        <v>365</v>
      </c>
      <c r="U3" s="373"/>
      <c r="V3" s="373"/>
      <c r="W3" s="373" t="s">
        <v>151</v>
      </c>
      <c r="X3" s="374" t="s">
        <v>152</v>
      </c>
      <c r="Y3" s="359" t="s">
        <v>366</v>
      </c>
      <c r="Z3" s="356" t="s">
        <v>154</v>
      </c>
      <c r="AA3" s="356"/>
      <c r="AB3" s="356"/>
      <c r="AC3" s="350" t="s">
        <v>367</v>
      </c>
      <c r="AD3" s="351" t="s">
        <v>368</v>
      </c>
      <c r="AE3" s="356" t="s">
        <v>369</v>
      </c>
      <c r="AF3" s="365"/>
      <c r="AG3" s="365"/>
      <c r="AH3" s="365"/>
      <c r="AI3" s="365"/>
      <c r="AJ3" s="366" t="s">
        <v>370</v>
      </c>
      <c r="AK3" s="367"/>
      <c r="AL3" s="367"/>
      <c r="AM3" s="367"/>
      <c r="AN3" s="367"/>
      <c r="AO3" s="352" t="s">
        <v>372</v>
      </c>
    </row>
    <row r="4" spans="1:42" s="231" customFormat="1" ht="20.25" customHeight="1" x14ac:dyDescent="0.2">
      <c r="A4" s="361"/>
      <c r="B4" s="361"/>
      <c r="C4" s="355" t="s">
        <v>1</v>
      </c>
      <c r="D4" s="355"/>
      <c r="E4" s="355"/>
      <c r="F4" s="355"/>
      <c r="G4" s="355" t="s">
        <v>2</v>
      </c>
      <c r="H4" s="355"/>
      <c r="I4" s="355"/>
      <c r="J4" s="355"/>
      <c r="K4" s="356" t="s">
        <v>363</v>
      </c>
      <c r="L4" s="364"/>
      <c r="M4" s="368"/>
      <c r="N4" s="357" t="s">
        <v>9</v>
      </c>
      <c r="O4" s="357" t="s">
        <v>13</v>
      </c>
      <c r="P4" s="375" t="s">
        <v>14</v>
      </c>
      <c r="Q4" s="369"/>
      <c r="R4" s="371"/>
      <c r="S4" s="369"/>
      <c r="T4" s="376" t="s">
        <v>3</v>
      </c>
      <c r="U4" s="376" t="s">
        <v>28</v>
      </c>
      <c r="V4" s="377" t="s">
        <v>29</v>
      </c>
      <c r="W4" s="373"/>
      <c r="X4" s="374"/>
      <c r="Y4" s="359"/>
      <c r="Z4" s="340" t="s">
        <v>4</v>
      </c>
      <c r="AA4" s="340" t="s">
        <v>125</v>
      </c>
      <c r="AB4" s="340" t="s">
        <v>126</v>
      </c>
      <c r="AC4" s="350"/>
      <c r="AD4" s="351"/>
      <c r="AE4" s="349">
        <v>2567</v>
      </c>
      <c r="AF4" s="349">
        <v>2568</v>
      </c>
      <c r="AG4" s="349">
        <v>2569</v>
      </c>
      <c r="AH4" s="349">
        <v>2570</v>
      </c>
      <c r="AI4" s="349">
        <v>2571</v>
      </c>
      <c r="AJ4" s="358">
        <v>2567</v>
      </c>
      <c r="AK4" s="358">
        <v>2568</v>
      </c>
      <c r="AL4" s="358">
        <v>2569</v>
      </c>
      <c r="AM4" s="358">
        <v>2570</v>
      </c>
      <c r="AN4" s="358">
        <v>2571</v>
      </c>
      <c r="AO4" s="353"/>
    </row>
    <row r="5" spans="1:42" s="231" customFormat="1" ht="43.5" x14ac:dyDescent="0.2">
      <c r="A5" s="361"/>
      <c r="B5" s="361"/>
      <c r="C5" s="341" t="s">
        <v>5</v>
      </c>
      <c r="D5" s="341" t="s">
        <v>6</v>
      </c>
      <c r="E5" s="341" t="s">
        <v>7</v>
      </c>
      <c r="F5" s="341" t="s">
        <v>8</v>
      </c>
      <c r="G5" s="341" t="s">
        <v>5</v>
      </c>
      <c r="H5" s="341" t="s">
        <v>6</v>
      </c>
      <c r="I5" s="341" t="s">
        <v>7</v>
      </c>
      <c r="J5" s="341" t="s">
        <v>8</v>
      </c>
      <c r="K5" s="356"/>
      <c r="L5" s="364"/>
      <c r="M5" s="368"/>
      <c r="N5" s="357"/>
      <c r="O5" s="357"/>
      <c r="P5" s="375"/>
      <c r="Q5" s="369"/>
      <c r="R5" s="372"/>
      <c r="S5" s="369"/>
      <c r="T5" s="376"/>
      <c r="U5" s="376"/>
      <c r="V5" s="377"/>
      <c r="W5" s="373"/>
      <c r="X5" s="374"/>
      <c r="Y5" s="359"/>
      <c r="Z5" s="340" t="s">
        <v>160</v>
      </c>
      <c r="AA5" s="340" t="s">
        <v>161</v>
      </c>
      <c r="AB5" s="340" t="s">
        <v>162</v>
      </c>
      <c r="AC5" s="350"/>
      <c r="AD5" s="351"/>
      <c r="AE5" s="349"/>
      <c r="AF5" s="349"/>
      <c r="AG5" s="349"/>
      <c r="AH5" s="349"/>
      <c r="AI5" s="349"/>
      <c r="AJ5" s="358"/>
      <c r="AK5" s="358"/>
      <c r="AL5" s="358"/>
      <c r="AM5" s="358"/>
      <c r="AN5" s="358"/>
      <c r="AO5" s="354"/>
    </row>
    <row r="6" spans="1:42" s="9" customFormat="1" ht="21.95" customHeight="1" x14ac:dyDescent="0.2">
      <c r="A6" s="64" t="s">
        <v>45</v>
      </c>
      <c r="B6" s="261"/>
      <c r="C6" s="65">
        <f t="shared" ref="C6:AD6" si="0">SUM(C7:C18)</f>
        <v>0</v>
      </c>
      <c r="D6" s="65">
        <f t="shared" si="0"/>
        <v>3</v>
      </c>
      <c r="E6" s="65">
        <f t="shared" si="0"/>
        <v>19</v>
      </c>
      <c r="F6" s="65">
        <f t="shared" si="0"/>
        <v>4</v>
      </c>
      <c r="G6" s="65">
        <f t="shared" si="0"/>
        <v>0</v>
      </c>
      <c r="H6" s="65">
        <f t="shared" si="0"/>
        <v>0</v>
      </c>
      <c r="I6" s="65">
        <f t="shared" si="0"/>
        <v>15</v>
      </c>
      <c r="J6" s="65">
        <f t="shared" si="0"/>
        <v>22</v>
      </c>
      <c r="K6" s="65">
        <f t="shared" si="0"/>
        <v>63</v>
      </c>
      <c r="L6" s="65">
        <f t="shared" si="0"/>
        <v>1</v>
      </c>
      <c r="M6" s="65">
        <f t="shared" si="0"/>
        <v>62</v>
      </c>
      <c r="N6" s="67">
        <f t="shared" si="0"/>
        <v>0</v>
      </c>
      <c r="O6" s="67">
        <f t="shared" si="0"/>
        <v>0</v>
      </c>
      <c r="P6" s="251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256">
        <f t="shared" si="0"/>
        <v>0</v>
      </c>
      <c r="U6" s="256">
        <f t="shared" si="0"/>
        <v>0</v>
      </c>
      <c r="V6" s="256">
        <f t="shared" si="0"/>
        <v>0</v>
      </c>
      <c r="W6" s="256">
        <f t="shared" si="0"/>
        <v>0</v>
      </c>
      <c r="X6" s="65">
        <f t="shared" si="0"/>
        <v>0</v>
      </c>
      <c r="Y6" s="65">
        <f t="shared" si="0"/>
        <v>0</v>
      </c>
      <c r="Z6" s="69">
        <f t="shared" si="0"/>
        <v>-61</v>
      </c>
      <c r="AA6" s="69">
        <f t="shared" si="0"/>
        <v>-61</v>
      </c>
      <c r="AB6" s="69">
        <f t="shared" si="0"/>
        <v>-61</v>
      </c>
      <c r="AC6" s="69">
        <f t="shared" si="0"/>
        <v>46</v>
      </c>
      <c r="AD6" s="251">
        <f t="shared" si="0"/>
        <v>0</v>
      </c>
      <c r="AE6" s="65">
        <f>SUM(AE7:AE18)</f>
        <v>1</v>
      </c>
      <c r="AF6" s="65">
        <f>SUM(AF7:AF18)</f>
        <v>1</v>
      </c>
      <c r="AG6" s="65">
        <f>SUM(AG7:AG18)</f>
        <v>5</v>
      </c>
      <c r="AH6" s="65">
        <f>SUM(AH7:AH18)</f>
        <v>1</v>
      </c>
      <c r="AI6" s="65">
        <f>SUM(AI7:AI18)</f>
        <v>0</v>
      </c>
      <c r="AJ6" s="251">
        <v>0</v>
      </c>
      <c r="AK6" s="251">
        <v>0</v>
      </c>
      <c r="AL6" s="251">
        <v>0</v>
      </c>
      <c r="AM6" s="251">
        <v>0</v>
      </c>
      <c r="AN6" s="251">
        <v>0</v>
      </c>
      <c r="AO6" s="71"/>
      <c r="AP6" s="72"/>
    </row>
    <row r="7" spans="1:42" s="7" customFormat="1" ht="21.95" customHeight="1" x14ac:dyDescent="0.2">
      <c r="A7" s="348" t="s">
        <v>44</v>
      </c>
      <c r="B7" s="262" t="s">
        <v>18</v>
      </c>
      <c r="C7" s="75" t="s">
        <v>38</v>
      </c>
      <c r="D7" s="75" t="s">
        <v>38</v>
      </c>
      <c r="E7" s="75">
        <v>2</v>
      </c>
      <c r="F7" s="75" t="s">
        <v>38</v>
      </c>
      <c r="G7" s="76" t="s">
        <v>38</v>
      </c>
      <c r="H7" s="76" t="s">
        <v>38</v>
      </c>
      <c r="I7" s="76">
        <v>1</v>
      </c>
      <c r="J7" s="77" t="s">
        <v>38</v>
      </c>
      <c r="K7" s="78">
        <f t="shared" ref="K7:K18" si="1">SUM(D7:J7)</f>
        <v>3</v>
      </c>
      <c r="L7" s="79">
        <f>-L8</f>
        <v>0</v>
      </c>
      <c r="M7" s="236">
        <f t="shared" ref="M7:M19" si="2">K7-L7</f>
        <v>3</v>
      </c>
      <c r="N7" s="81"/>
      <c r="O7" s="81"/>
      <c r="P7" s="82">
        <f t="shared" ref="P7:P19" si="3">SUM(N7:O7)</f>
        <v>0</v>
      </c>
      <c r="Q7" s="83">
        <f t="shared" ref="Q7:Q18" si="4">P7/30</f>
        <v>0</v>
      </c>
      <c r="R7" s="84">
        <f t="shared" ref="R7:R18" si="5">(P7*0.05)+P7</f>
        <v>0</v>
      </c>
      <c r="S7" s="83">
        <f t="shared" ref="S7:S18" si="6">R7/30</f>
        <v>0</v>
      </c>
      <c r="T7" s="85"/>
      <c r="U7" s="86"/>
      <c r="V7" s="78">
        <f>SUM(T7:U7)</f>
        <v>0</v>
      </c>
      <c r="W7" s="78">
        <f>V7/2</f>
        <v>0</v>
      </c>
      <c r="X7" s="87">
        <f>V7/28</f>
        <v>0</v>
      </c>
      <c r="Y7" s="88">
        <f>W7/14</f>
        <v>0</v>
      </c>
      <c r="Z7" s="89">
        <f t="shared" ref="Z7:Z18" si="7">Q7-M7</f>
        <v>-3</v>
      </c>
      <c r="AA7" s="89">
        <f t="shared" ref="AA7:AA18" si="8">X7-M7</f>
        <v>-3</v>
      </c>
      <c r="AB7" s="89">
        <f>Y7-M7</f>
        <v>-3</v>
      </c>
      <c r="AC7" s="90">
        <v>3</v>
      </c>
      <c r="AD7" s="334">
        <f t="shared" ref="AD7:AD18" si="9">P7/30</f>
        <v>0</v>
      </c>
      <c r="AE7" s="92" t="s">
        <v>38</v>
      </c>
      <c r="AF7" s="92" t="s">
        <v>38</v>
      </c>
      <c r="AG7" s="92">
        <v>2</v>
      </c>
      <c r="AH7" s="92" t="s">
        <v>38</v>
      </c>
      <c r="AI7" s="92" t="s">
        <v>38</v>
      </c>
      <c r="AJ7" s="326">
        <v>0</v>
      </c>
      <c r="AK7" s="326">
        <v>0</v>
      </c>
      <c r="AL7" s="326">
        <v>0</v>
      </c>
      <c r="AM7" s="326">
        <v>0</v>
      </c>
      <c r="AN7" s="326">
        <v>0</v>
      </c>
      <c r="AO7" s="94"/>
      <c r="AP7" s="95"/>
    </row>
    <row r="8" spans="1:42" s="10" customFormat="1" ht="24" x14ac:dyDescent="0.2">
      <c r="A8" s="348"/>
      <c r="B8" s="262" t="s">
        <v>19</v>
      </c>
      <c r="C8" s="96" t="s">
        <v>38</v>
      </c>
      <c r="D8" s="96" t="s">
        <v>38</v>
      </c>
      <c r="E8" s="96">
        <v>1</v>
      </c>
      <c r="F8" s="96" t="s">
        <v>38</v>
      </c>
      <c r="G8" s="97" t="s">
        <v>38</v>
      </c>
      <c r="H8" s="97" t="s">
        <v>38</v>
      </c>
      <c r="I8" s="97">
        <v>1</v>
      </c>
      <c r="J8" s="97">
        <v>3</v>
      </c>
      <c r="K8" s="78">
        <f t="shared" si="1"/>
        <v>5</v>
      </c>
      <c r="L8" s="79">
        <v>0</v>
      </c>
      <c r="M8" s="236">
        <f t="shared" si="2"/>
        <v>5</v>
      </c>
      <c r="N8" s="98"/>
      <c r="O8" s="98"/>
      <c r="P8" s="82">
        <f t="shared" si="3"/>
        <v>0</v>
      </c>
      <c r="Q8" s="83">
        <f t="shared" si="4"/>
        <v>0</v>
      </c>
      <c r="R8" s="84">
        <f t="shared" si="5"/>
        <v>0</v>
      </c>
      <c r="S8" s="83">
        <f t="shared" si="6"/>
        <v>0</v>
      </c>
      <c r="T8" s="99"/>
      <c r="U8" s="86"/>
      <c r="V8" s="78">
        <f t="shared" ref="V8:V19" si="10">SUM(T8:U8)</f>
        <v>0</v>
      </c>
      <c r="W8" s="78">
        <f t="shared" ref="W8:W73" si="11">V8/2</f>
        <v>0</v>
      </c>
      <c r="X8" s="87">
        <f>V8/12</f>
        <v>0</v>
      </c>
      <c r="Y8" s="88">
        <f>W8/14</f>
        <v>0</v>
      </c>
      <c r="Z8" s="100">
        <f t="shared" si="7"/>
        <v>-5</v>
      </c>
      <c r="AA8" s="100">
        <f t="shared" si="8"/>
        <v>-5</v>
      </c>
      <c r="AB8" s="100">
        <f t="shared" ref="AB8:AB33" si="12">Y8-M8</f>
        <v>-5</v>
      </c>
      <c r="AC8" s="90">
        <v>3</v>
      </c>
      <c r="AD8" s="334">
        <f t="shared" si="9"/>
        <v>0</v>
      </c>
      <c r="AE8" s="101" t="s">
        <v>38</v>
      </c>
      <c r="AF8" s="101" t="s">
        <v>38</v>
      </c>
      <c r="AG8" s="101" t="s">
        <v>38</v>
      </c>
      <c r="AH8" s="101" t="s">
        <v>38</v>
      </c>
      <c r="AI8" s="101" t="s">
        <v>38</v>
      </c>
      <c r="AJ8" s="326">
        <v>0</v>
      </c>
      <c r="AK8" s="326">
        <v>0</v>
      </c>
      <c r="AL8" s="326">
        <v>0</v>
      </c>
      <c r="AM8" s="326">
        <v>0</v>
      </c>
      <c r="AN8" s="326">
        <v>0</v>
      </c>
      <c r="AO8" s="94"/>
      <c r="AP8" s="63"/>
    </row>
    <row r="9" spans="1:42" s="7" customFormat="1" ht="21.95" customHeight="1" x14ac:dyDescent="0.2">
      <c r="A9" s="73" t="s">
        <v>46</v>
      </c>
      <c r="B9" s="263" t="s">
        <v>21</v>
      </c>
      <c r="C9" s="75" t="s">
        <v>38</v>
      </c>
      <c r="D9" s="75" t="s">
        <v>38</v>
      </c>
      <c r="E9" s="75">
        <v>3</v>
      </c>
      <c r="F9" s="75">
        <v>1</v>
      </c>
      <c r="G9" s="76" t="s">
        <v>38</v>
      </c>
      <c r="H9" s="76" t="s">
        <v>38</v>
      </c>
      <c r="I9" s="76">
        <v>3</v>
      </c>
      <c r="J9" s="97" t="s">
        <v>38</v>
      </c>
      <c r="K9" s="78">
        <f t="shared" si="1"/>
        <v>7</v>
      </c>
      <c r="L9" s="79">
        <v>0</v>
      </c>
      <c r="M9" s="236">
        <f t="shared" si="2"/>
        <v>7</v>
      </c>
      <c r="N9" s="81"/>
      <c r="O9" s="81"/>
      <c r="P9" s="82">
        <f t="shared" si="3"/>
        <v>0</v>
      </c>
      <c r="Q9" s="83">
        <f t="shared" si="4"/>
        <v>0</v>
      </c>
      <c r="R9" s="84">
        <f t="shared" si="5"/>
        <v>0</v>
      </c>
      <c r="S9" s="83">
        <f t="shared" si="6"/>
        <v>0</v>
      </c>
      <c r="T9" s="103"/>
      <c r="U9" s="85"/>
      <c r="V9" s="78">
        <f t="shared" si="10"/>
        <v>0</v>
      </c>
      <c r="W9" s="78">
        <f t="shared" si="11"/>
        <v>0</v>
      </c>
      <c r="X9" s="87">
        <f t="shared" ref="X9:X18" si="13">V9/35</f>
        <v>0</v>
      </c>
      <c r="Y9" s="88">
        <f t="shared" ref="Y9:Y73" si="14">W9/14</f>
        <v>0</v>
      </c>
      <c r="Z9" s="89">
        <f t="shared" si="7"/>
        <v>-7</v>
      </c>
      <c r="AA9" s="89">
        <f t="shared" si="8"/>
        <v>-7</v>
      </c>
      <c r="AB9" s="89">
        <f t="shared" si="12"/>
        <v>-7</v>
      </c>
      <c r="AC9" s="90">
        <v>5</v>
      </c>
      <c r="AD9" s="334">
        <f t="shared" si="9"/>
        <v>0</v>
      </c>
      <c r="AE9" s="92" t="s">
        <v>38</v>
      </c>
      <c r="AF9" s="92" t="s">
        <v>38</v>
      </c>
      <c r="AG9" s="92">
        <v>1</v>
      </c>
      <c r="AH9" s="92">
        <v>1</v>
      </c>
      <c r="AI9" s="92" t="s">
        <v>38</v>
      </c>
      <c r="AJ9" s="326">
        <v>0</v>
      </c>
      <c r="AK9" s="326">
        <v>0</v>
      </c>
      <c r="AL9" s="326">
        <v>0</v>
      </c>
      <c r="AM9" s="326">
        <v>0</v>
      </c>
      <c r="AN9" s="326">
        <v>0</v>
      </c>
      <c r="AO9" s="94"/>
      <c r="AP9" s="95"/>
    </row>
    <row r="10" spans="1:42" s="10" customFormat="1" ht="21.95" customHeight="1" x14ac:dyDescent="0.2">
      <c r="A10" s="104" t="s">
        <v>225</v>
      </c>
      <c r="B10" s="262" t="s">
        <v>21</v>
      </c>
      <c r="C10" s="75" t="s">
        <v>38</v>
      </c>
      <c r="D10" s="75" t="s">
        <v>38</v>
      </c>
      <c r="E10" s="75">
        <v>2</v>
      </c>
      <c r="F10" s="75">
        <v>2</v>
      </c>
      <c r="G10" s="76" t="s">
        <v>38</v>
      </c>
      <c r="H10" s="76" t="s">
        <v>38</v>
      </c>
      <c r="I10" s="76">
        <v>1</v>
      </c>
      <c r="J10" s="77">
        <v>4</v>
      </c>
      <c r="K10" s="78">
        <f t="shared" si="1"/>
        <v>9</v>
      </c>
      <c r="L10" s="79">
        <v>0</v>
      </c>
      <c r="M10" s="236">
        <f t="shared" si="2"/>
        <v>9</v>
      </c>
      <c r="N10" s="98"/>
      <c r="O10" s="98"/>
      <c r="P10" s="82">
        <f t="shared" si="3"/>
        <v>0</v>
      </c>
      <c r="Q10" s="83">
        <f t="shared" si="4"/>
        <v>0</v>
      </c>
      <c r="R10" s="84">
        <f t="shared" si="5"/>
        <v>0</v>
      </c>
      <c r="S10" s="83">
        <f t="shared" si="6"/>
        <v>0</v>
      </c>
      <c r="T10" s="103"/>
      <c r="U10" s="85"/>
      <c r="V10" s="78">
        <f t="shared" si="10"/>
        <v>0</v>
      </c>
      <c r="W10" s="78">
        <f t="shared" si="11"/>
        <v>0</v>
      </c>
      <c r="X10" s="87">
        <f t="shared" si="13"/>
        <v>0</v>
      </c>
      <c r="Y10" s="88">
        <f t="shared" si="14"/>
        <v>0</v>
      </c>
      <c r="Z10" s="100">
        <f t="shared" si="7"/>
        <v>-9</v>
      </c>
      <c r="AA10" s="100">
        <f>X10-M10</f>
        <v>-9</v>
      </c>
      <c r="AB10" s="100">
        <f>Y10-M10</f>
        <v>-9</v>
      </c>
      <c r="AC10" s="90">
        <v>5</v>
      </c>
      <c r="AD10" s="334">
        <f t="shared" si="9"/>
        <v>0</v>
      </c>
      <c r="AE10" s="101" t="s">
        <v>38</v>
      </c>
      <c r="AF10" s="101" t="s">
        <v>38</v>
      </c>
      <c r="AG10" s="101" t="s">
        <v>38</v>
      </c>
      <c r="AH10" s="101" t="s">
        <v>38</v>
      </c>
      <c r="AI10" s="101" t="s">
        <v>38</v>
      </c>
      <c r="AJ10" s="326">
        <v>0</v>
      </c>
      <c r="AK10" s="326">
        <v>0</v>
      </c>
      <c r="AL10" s="326">
        <v>0</v>
      </c>
      <c r="AM10" s="326">
        <v>0</v>
      </c>
      <c r="AN10" s="326">
        <v>0</v>
      </c>
      <c r="AO10" s="94"/>
      <c r="AP10" s="63"/>
    </row>
    <row r="11" spans="1:42" s="10" customFormat="1" ht="21.95" customHeight="1" x14ac:dyDescent="0.2">
      <c r="A11" s="348" t="s">
        <v>48</v>
      </c>
      <c r="B11" s="262" t="s">
        <v>128</v>
      </c>
      <c r="C11" s="105" t="s">
        <v>38</v>
      </c>
      <c r="D11" s="96">
        <v>1</v>
      </c>
      <c r="E11" s="96" t="s">
        <v>38</v>
      </c>
      <c r="F11" s="96" t="s">
        <v>38</v>
      </c>
      <c r="G11" s="106" t="s">
        <v>38</v>
      </c>
      <c r="H11" s="76" t="s">
        <v>38</v>
      </c>
      <c r="I11" s="76" t="s">
        <v>38</v>
      </c>
      <c r="J11" s="77" t="s">
        <v>38</v>
      </c>
      <c r="K11" s="78">
        <f t="shared" si="1"/>
        <v>1</v>
      </c>
      <c r="L11" s="79">
        <v>0</v>
      </c>
      <c r="M11" s="236">
        <f t="shared" si="2"/>
        <v>1</v>
      </c>
      <c r="N11" s="98"/>
      <c r="O11" s="98"/>
      <c r="P11" s="82">
        <f t="shared" si="3"/>
        <v>0</v>
      </c>
      <c r="Q11" s="83">
        <f t="shared" si="4"/>
        <v>0</v>
      </c>
      <c r="R11" s="84">
        <f t="shared" si="5"/>
        <v>0</v>
      </c>
      <c r="S11" s="83">
        <f t="shared" si="6"/>
        <v>0</v>
      </c>
      <c r="T11" s="103"/>
      <c r="U11" s="107"/>
      <c r="V11" s="78">
        <f t="shared" si="10"/>
        <v>0</v>
      </c>
      <c r="W11" s="78">
        <f t="shared" si="11"/>
        <v>0</v>
      </c>
      <c r="X11" s="87">
        <f t="shared" si="13"/>
        <v>0</v>
      </c>
      <c r="Y11" s="88">
        <f t="shared" si="14"/>
        <v>0</v>
      </c>
      <c r="Z11" s="78">
        <v>0</v>
      </c>
      <c r="AA11" s="78">
        <v>0</v>
      </c>
      <c r="AB11" s="78">
        <v>0</v>
      </c>
      <c r="AC11" s="90">
        <v>3</v>
      </c>
      <c r="AD11" s="334">
        <f t="shared" si="9"/>
        <v>0</v>
      </c>
      <c r="AE11" s="101" t="s">
        <v>38</v>
      </c>
      <c r="AF11" s="101" t="s">
        <v>38</v>
      </c>
      <c r="AG11" s="101" t="s">
        <v>38</v>
      </c>
      <c r="AH11" s="101" t="s">
        <v>38</v>
      </c>
      <c r="AI11" s="101" t="s">
        <v>38</v>
      </c>
      <c r="AJ11" s="326">
        <v>0</v>
      </c>
      <c r="AK11" s="326">
        <v>0</v>
      </c>
      <c r="AL11" s="326">
        <v>0</v>
      </c>
      <c r="AM11" s="326">
        <v>0</v>
      </c>
      <c r="AN11" s="326">
        <v>0</v>
      </c>
      <c r="AO11" s="94"/>
      <c r="AP11" s="63"/>
    </row>
    <row r="12" spans="1:42" s="10" customFormat="1" ht="21.95" customHeight="1" x14ac:dyDescent="0.2">
      <c r="A12" s="348"/>
      <c r="B12" s="262" t="s">
        <v>21</v>
      </c>
      <c r="C12" s="105" t="s">
        <v>38</v>
      </c>
      <c r="D12" s="105" t="s">
        <v>38</v>
      </c>
      <c r="E12" s="105">
        <v>2</v>
      </c>
      <c r="F12" s="105">
        <v>1</v>
      </c>
      <c r="G12" s="106" t="s">
        <v>38</v>
      </c>
      <c r="H12" s="76" t="s">
        <v>38</v>
      </c>
      <c r="I12" s="76">
        <v>1</v>
      </c>
      <c r="J12" s="76">
        <v>4</v>
      </c>
      <c r="K12" s="108">
        <f t="shared" si="1"/>
        <v>8</v>
      </c>
      <c r="L12" s="79">
        <v>0</v>
      </c>
      <c r="M12" s="236">
        <f t="shared" si="2"/>
        <v>8</v>
      </c>
      <c r="N12" s="98"/>
      <c r="O12" s="98"/>
      <c r="P12" s="82">
        <f t="shared" si="3"/>
        <v>0</v>
      </c>
      <c r="Q12" s="83">
        <f t="shared" si="4"/>
        <v>0</v>
      </c>
      <c r="R12" s="84">
        <f t="shared" si="5"/>
        <v>0</v>
      </c>
      <c r="S12" s="83">
        <f t="shared" si="6"/>
        <v>0</v>
      </c>
      <c r="T12" s="103"/>
      <c r="U12" s="85"/>
      <c r="V12" s="78">
        <f t="shared" si="10"/>
        <v>0</v>
      </c>
      <c r="W12" s="78">
        <f t="shared" si="11"/>
        <v>0</v>
      </c>
      <c r="X12" s="87">
        <f t="shared" si="13"/>
        <v>0</v>
      </c>
      <c r="Y12" s="88">
        <f t="shared" si="14"/>
        <v>0</v>
      </c>
      <c r="Z12" s="100">
        <f t="shared" si="7"/>
        <v>-8</v>
      </c>
      <c r="AA12" s="100">
        <f t="shared" si="8"/>
        <v>-8</v>
      </c>
      <c r="AB12" s="100">
        <f t="shared" si="12"/>
        <v>-8</v>
      </c>
      <c r="AC12" s="90">
        <v>5</v>
      </c>
      <c r="AD12" s="334">
        <f t="shared" si="9"/>
        <v>0</v>
      </c>
      <c r="AE12" s="101" t="s">
        <v>38</v>
      </c>
      <c r="AF12" s="101">
        <v>1</v>
      </c>
      <c r="AG12" s="101">
        <v>1</v>
      </c>
      <c r="AH12" s="101" t="s">
        <v>38</v>
      </c>
      <c r="AI12" s="101" t="s">
        <v>38</v>
      </c>
      <c r="AJ12" s="326">
        <v>0</v>
      </c>
      <c r="AK12" s="326">
        <v>0</v>
      </c>
      <c r="AL12" s="326">
        <v>0</v>
      </c>
      <c r="AM12" s="326">
        <v>0</v>
      </c>
      <c r="AN12" s="326">
        <v>0</v>
      </c>
      <c r="AO12" s="94"/>
      <c r="AP12" s="63"/>
    </row>
    <row r="13" spans="1:42" s="7" customFormat="1" ht="21.95" customHeight="1" x14ac:dyDescent="0.2">
      <c r="A13" s="348" t="s">
        <v>49</v>
      </c>
      <c r="B13" s="263" t="s">
        <v>19</v>
      </c>
      <c r="C13" s="75" t="s">
        <v>38</v>
      </c>
      <c r="D13" s="75" t="s">
        <v>38</v>
      </c>
      <c r="E13" s="75">
        <v>1</v>
      </c>
      <c r="F13" s="75" t="s">
        <v>38</v>
      </c>
      <c r="G13" s="76" t="s">
        <v>38</v>
      </c>
      <c r="H13" s="76" t="s">
        <v>38</v>
      </c>
      <c r="I13" s="76">
        <v>2</v>
      </c>
      <c r="J13" s="76" t="s">
        <v>38</v>
      </c>
      <c r="K13" s="108">
        <f t="shared" si="1"/>
        <v>3</v>
      </c>
      <c r="L13" s="79">
        <v>0</v>
      </c>
      <c r="M13" s="236">
        <f t="shared" si="2"/>
        <v>3</v>
      </c>
      <c r="N13" s="81"/>
      <c r="O13" s="81"/>
      <c r="P13" s="82">
        <f t="shared" si="3"/>
        <v>0</v>
      </c>
      <c r="Q13" s="83">
        <f t="shared" si="4"/>
        <v>0</v>
      </c>
      <c r="R13" s="84">
        <f t="shared" si="5"/>
        <v>0</v>
      </c>
      <c r="S13" s="83">
        <f t="shared" si="6"/>
        <v>0</v>
      </c>
      <c r="T13" s="109"/>
      <c r="U13" s="86"/>
      <c r="V13" s="78">
        <f t="shared" si="10"/>
        <v>0</v>
      </c>
      <c r="W13" s="78">
        <f t="shared" si="11"/>
        <v>0</v>
      </c>
      <c r="X13" s="87">
        <f t="shared" si="13"/>
        <v>0</v>
      </c>
      <c r="Y13" s="88">
        <f t="shared" si="14"/>
        <v>0</v>
      </c>
      <c r="Z13" s="89">
        <f t="shared" si="7"/>
        <v>-3</v>
      </c>
      <c r="AA13" s="89">
        <f t="shared" si="8"/>
        <v>-3</v>
      </c>
      <c r="AB13" s="89">
        <f t="shared" si="12"/>
        <v>-3</v>
      </c>
      <c r="AC13" s="90">
        <v>3</v>
      </c>
      <c r="AD13" s="334">
        <f t="shared" si="9"/>
        <v>0</v>
      </c>
      <c r="AE13" s="92" t="s">
        <v>38</v>
      </c>
      <c r="AF13" s="92" t="s">
        <v>38</v>
      </c>
      <c r="AG13" s="92">
        <v>1</v>
      </c>
      <c r="AH13" s="92" t="s">
        <v>38</v>
      </c>
      <c r="AI13" s="92" t="s">
        <v>38</v>
      </c>
      <c r="AJ13" s="326">
        <v>0</v>
      </c>
      <c r="AK13" s="326">
        <v>0</v>
      </c>
      <c r="AL13" s="326">
        <v>0</v>
      </c>
      <c r="AM13" s="326">
        <v>0</v>
      </c>
      <c r="AN13" s="326">
        <v>0</v>
      </c>
      <c r="AO13" s="94"/>
      <c r="AP13" s="95"/>
    </row>
    <row r="14" spans="1:42" s="10" customFormat="1" ht="21.95" customHeight="1" x14ac:dyDescent="0.2">
      <c r="A14" s="348"/>
      <c r="B14" s="262" t="s">
        <v>21</v>
      </c>
      <c r="C14" s="75" t="s">
        <v>38</v>
      </c>
      <c r="D14" s="75" t="s">
        <v>38</v>
      </c>
      <c r="E14" s="75" t="s">
        <v>38</v>
      </c>
      <c r="F14" s="75" t="s">
        <v>38</v>
      </c>
      <c r="G14" s="76" t="s">
        <v>38</v>
      </c>
      <c r="H14" s="76" t="s">
        <v>38</v>
      </c>
      <c r="I14" s="76">
        <v>2</v>
      </c>
      <c r="J14" s="76">
        <v>4</v>
      </c>
      <c r="K14" s="108">
        <f t="shared" si="1"/>
        <v>6</v>
      </c>
      <c r="L14" s="79">
        <v>1</v>
      </c>
      <c r="M14" s="236">
        <f t="shared" si="2"/>
        <v>5</v>
      </c>
      <c r="N14" s="98"/>
      <c r="O14" s="98"/>
      <c r="P14" s="82">
        <f t="shared" si="3"/>
        <v>0</v>
      </c>
      <c r="Q14" s="83">
        <f t="shared" si="4"/>
        <v>0</v>
      </c>
      <c r="R14" s="84">
        <f t="shared" si="5"/>
        <v>0</v>
      </c>
      <c r="S14" s="83">
        <f t="shared" si="6"/>
        <v>0</v>
      </c>
      <c r="T14" s="103"/>
      <c r="U14" s="85"/>
      <c r="V14" s="78">
        <f t="shared" si="10"/>
        <v>0</v>
      </c>
      <c r="W14" s="78">
        <f t="shared" si="11"/>
        <v>0</v>
      </c>
      <c r="X14" s="87">
        <f t="shared" si="13"/>
        <v>0</v>
      </c>
      <c r="Y14" s="88">
        <f t="shared" si="14"/>
        <v>0</v>
      </c>
      <c r="Z14" s="100">
        <f t="shared" si="7"/>
        <v>-5</v>
      </c>
      <c r="AA14" s="100">
        <f t="shared" si="8"/>
        <v>-5</v>
      </c>
      <c r="AB14" s="100">
        <f t="shared" si="12"/>
        <v>-5</v>
      </c>
      <c r="AC14" s="90">
        <v>5</v>
      </c>
      <c r="AD14" s="334">
        <f t="shared" si="9"/>
        <v>0</v>
      </c>
      <c r="AE14" s="101" t="s">
        <v>38</v>
      </c>
      <c r="AF14" s="101" t="s">
        <v>38</v>
      </c>
      <c r="AG14" s="101" t="s">
        <v>38</v>
      </c>
      <c r="AH14" s="101" t="s">
        <v>38</v>
      </c>
      <c r="AI14" s="101" t="s">
        <v>38</v>
      </c>
      <c r="AJ14" s="326">
        <v>0</v>
      </c>
      <c r="AK14" s="326">
        <v>0</v>
      </c>
      <c r="AL14" s="326">
        <v>0</v>
      </c>
      <c r="AM14" s="326">
        <v>0</v>
      </c>
      <c r="AN14" s="326">
        <v>0</v>
      </c>
      <c r="AO14" s="94"/>
      <c r="AP14" s="63"/>
    </row>
    <row r="15" spans="1:42" s="7" customFormat="1" ht="21.95" customHeight="1" x14ac:dyDescent="0.2">
      <c r="A15" s="348" t="s">
        <v>50</v>
      </c>
      <c r="B15" s="263" t="s">
        <v>18</v>
      </c>
      <c r="C15" s="75" t="s">
        <v>38</v>
      </c>
      <c r="D15" s="75" t="s">
        <v>38</v>
      </c>
      <c r="E15" s="75">
        <v>1</v>
      </c>
      <c r="F15" s="75" t="s">
        <v>38</v>
      </c>
      <c r="G15" s="76" t="s">
        <v>38</v>
      </c>
      <c r="H15" s="76" t="s">
        <v>38</v>
      </c>
      <c r="I15" s="76" t="s">
        <v>38</v>
      </c>
      <c r="J15" s="76">
        <v>1</v>
      </c>
      <c r="K15" s="108">
        <f t="shared" si="1"/>
        <v>2</v>
      </c>
      <c r="L15" s="79">
        <v>0</v>
      </c>
      <c r="M15" s="236">
        <f t="shared" si="2"/>
        <v>2</v>
      </c>
      <c r="N15" s="81"/>
      <c r="O15" s="81"/>
      <c r="P15" s="82">
        <f t="shared" si="3"/>
        <v>0</v>
      </c>
      <c r="Q15" s="83">
        <f t="shared" si="4"/>
        <v>0</v>
      </c>
      <c r="R15" s="84">
        <f t="shared" si="5"/>
        <v>0</v>
      </c>
      <c r="S15" s="83">
        <f t="shared" si="6"/>
        <v>0</v>
      </c>
      <c r="T15" s="110"/>
      <c r="U15" s="86"/>
      <c r="V15" s="78">
        <f t="shared" si="10"/>
        <v>0</v>
      </c>
      <c r="W15" s="78">
        <f t="shared" si="11"/>
        <v>0</v>
      </c>
      <c r="X15" s="87">
        <f t="shared" si="13"/>
        <v>0</v>
      </c>
      <c r="Y15" s="88">
        <f t="shared" si="14"/>
        <v>0</v>
      </c>
      <c r="Z15" s="89">
        <f t="shared" si="7"/>
        <v>-2</v>
      </c>
      <c r="AA15" s="89">
        <f t="shared" si="8"/>
        <v>-2</v>
      </c>
      <c r="AB15" s="89">
        <f t="shared" si="12"/>
        <v>-2</v>
      </c>
      <c r="AC15" s="90">
        <v>3</v>
      </c>
      <c r="AD15" s="334">
        <f t="shared" si="9"/>
        <v>0</v>
      </c>
      <c r="AE15" s="92">
        <v>1</v>
      </c>
      <c r="AF15" s="92" t="s">
        <v>38</v>
      </c>
      <c r="AG15" s="92" t="s">
        <v>38</v>
      </c>
      <c r="AH15" s="92" t="s">
        <v>38</v>
      </c>
      <c r="AI15" s="92" t="s">
        <v>38</v>
      </c>
      <c r="AJ15" s="326">
        <v>0</v>
      </c>
      <c r="AK15" s="326">
        <v>0</v>
      </c>
      <c r="AL15" s="326">
        <v>0</v>
      </c>
      <c r="AM15" s="326">
        <v>0</v>
      </c>
      <c r="AN15" s="326">
        <v>0</v>
      </c>
      <c r="AO15" s="94"/>
      <c r="AP15" s="95"/>
    </row>
    <row r="16" spans="1:42" s="10" customFormat="1" ht="21.95" customHeight="1" x14ac:dyDescent="0.2">
      <c r="A16" s="348"/>
      <c r="B16" s="262" t="s">
        <v>19</v>
      </c>
      <c r="C16" s="75" t="s">
        <v>38</v>
      </c>
      <c r="D16" s="75">
        <v>1</v>
      </c>
      <c r="E16" s="75">
        <v>2</v>
      </c>
      <c r="F16" s="75" t="s">
        <v>38</v>
      </c>
      <c r="G16" s="76" t="s">
        <v>38</v>
      </c>
      <c r="H16" s="76" t="s">
        <v>38</v>
      </c>
      <c r="I16" s="76">
        <v>1</v>
      </c>
      <c r="J16" s="76" t="s">
        <v>38</v>
      </c>
      <c r="K16" s="108">
        <f t="shared" si="1"/>
        <v>4</v>
      </c>
      <c r="L16" s="79">
        <v>0</v>
      </c>
      <c r="M16" s="236">
        <f t="shared" si="2"/>
        <v>4</v>
      </c>
      <c r="N16" s="98"/>
      <c r="O16" s="98"/>
      <c r="P16" s="82">
        <f t="shared" si="3"/>
        <v>0</v>
      </c>
      <c r="Q16" s="83">
        <f t="shared" si="4"/>
        <v>0</v>
      </c>
      <c r="R16" s="84">
        <f t="shared" si="5"/>
        <v>0</v>
      </c>
      <c r="S16" s="83">
        <f t="shared" si="6"/>
        <v>0</v>
      </c>
      <c r="T16" s="111"/>
      <c r="U16" s="86"/>
      <c r="V16" s="78">
        <f t="shared" si="10"/>
        <v>0</v>
      </c>
      <c r="W16" s="78">
        <f t="shared" si="11"/>
        <v>0</v>
      </c>
      <c r="X16" s="87">
        <f t="shared" si="13"/>
        <v>0</v>
      </c>
      <c r="Y16" s="88">
        <f t="shared" si="14"/>
        <v>0</v>
      </c>
      <c r="Z16" s="100">
        <f t="shared" si="7"/>
        <v>-4</v>
      </c>
      <c r="AA16" s="100">
        <f t="shared" si="8"/>
        <v>-4</v>
      </c>
      <c r="AB16" s="100">
        <f t="shared" si="12"/>
        <v>-4</v>
      </c>
      <c r="AC16" s="90">
        <v>3</v>
      </c>
      <c r="AD16" s="334">
        <f t="shared" si="9"/>
        <v>0</v>
      </c>
      <c r="AE16" s="101" t="s">
        <v>38</v>
      </c>
      <c r="AF16" s="101" t="s">
        <v>38</v>
      </c>
      <c r="AG16" s="101" t="s">
        <v>38</v>
      </c>
      <c r="AH16" s="101" t="s">
        <v>38</v>
      </c>
      <c r="AI16" s="101" t="s">
        <v>38</v>
      </c>
      <c r="AJ16" s="326">
        <v>0</v>
      </c>
      <c r="AK16" s="326">
        <v>0</v>
      </c>
      <c r="AL16" s="326">
        <v>0</v>
      </c>
      <c r="AM16" s="326">
        <v>0</v>
      </c>
      <c r="AN16" s="326">
        <v>0</v>
      </c>
      <c r="AO16" s="94"/>
      <c r="AP16" s="63"/>
    </row>
    <row r="17" spans="1:42" s="7" customFormat="1" ht="21.95" customHeight="1" x14ac:dyDescent="0.2">
      <c r="A17" s="73" t="s">
        <v>51</v>
      </c>
      <c r="B17" s="263" t="s">
        <v>21</v>
      </c>
      <c r="C17" s="75" t="s">
        <v>38</v>
      </c>
      <c r="D17" s="75" t="s">
        <v>38</v>
      </c>
      <c r="E17" s="75">
        <v>1</v>
      </c>
      <c r="F17" s="75" t="s">
        <v>38</v>
      </c>
      <c r="G17" s="76" t="s">
        <v>38</v>
      </c>
      <c r="H17" s="76" t="s">
        <v>38</v>
      </c>
      <c r="I17" s="76">
        <v>2</v>
      </c>
      <c r="J17" s="77">
        <v>4</v>
      </c>
      <c r="K17" s="78">
        <f t="shared" si="1"/>
        <v>7</v>
      </c>
      <c r="L17" s="79">
        <v>0</v>
      </c>
      <c r="M17" s="236">
        <f t="shared" si="2"/>
        <v>7</v>
      </c>
      <c r="N17" s="98"/>
      <c r="O17" s="98"/>
      <c r="P17" s="82">
        <f t="shared" si="3"/>
        <v>0</v>
      </c>
      <c r="Q17" s="83">
        <f t="shared" si="4"/>
        <v>0</v>
      </c>
      <c r="R17" s="84">
        <f t="shared" si="5"/>
        <v>0</v>
      </c>
      <c r="S17" s="83">
        <f t="shared" si="6"/>
        <v>0</v>
      </c>
      <c r="T17" s="103"/>
      <c r="U17" s="85"/>
      <c r="V17" s="78">
        <f t="shared" si="10"/>
        <v>0</v>
      </c>
      <c r="W17" s="78">
        <f t="shared" si="11"/>
        <v>0</v>
      </c>
      <c r="X17" s="87">
        <f t="shared" si="13"/>
        <v>0</v>
      </c>
      <c r="Y17" s="88">
        <f t="shared" si="14"/>
        <v>0</v>
      </c>
      <c r="Z17" s="89">
        <f t="shared" si="7"/>
        <v>-7</v>
      </c>
      <c r="AA17" s="89">
        <f t="shared" si="8"/>
        <v>-7</v>
      </c>
      <c r="AB17" s="89">
        <f t="shared" si="12"/>
        <v>-7</v>
      </c>
      <c r="AC17" s="90">
        <v>5</v>
      </c>
      <c r="AD17" s="334">
        <f t="shared" si="9"/>
        <v>0</v>
      </c>
      <c r="AE17" s="92" t="s">
        <v>38</v>
      </c>
      <c r="AF17" s="92" t="s">
        <v>38</v>
      </c>
      <c r="AG17" s="92" t="s">
        <v>38</v>
      </c>
      <c r="AH17" s="92" t="s">
        <v>38</v>
      </c>
      <c r="AI17" s="92" t="s">
        <v>38</v>
      </c>
      <c r="AJ17" s="326">
        <v>0</v>
      </c>
      <c r="AK17" s="326">
        <v>0</v>
      </c>
      <c r="AL17" s="326">
        <v>0</v>
      </c>
      <c r="AM17" s="326">
        <v>0</v>
      </c>
      <c r="AN17" s="326">
        <v>0</v>
      </c>
      <c r="AO17" s="94"/>
      <c r="AP17" s="95"/>
    </row>
    <row r="18" spans="1:42" s="10" customFormat="1" ht="21.95" customHeight="1" x14ac:dyDescent="0.2">
      <c r="A18" s="112" t="s">
        <v>52</v>
      </c>
      <c r="B18" s="262" t="s">
        <v>19</v>
      </c>
      <c r="C18" s="96" t="s">
        <v>38</v>
      </c>
      <c r="D18" s="96">
        <v>1</v>
      </c>
      <c r="E18" s="96">
        <v>4</v>
      </c>
      <c r="F18" s="96" t="s">
        <v>38</v>
      </c>
      <c r="G18" s="97" t="s">
        <v>38</v>
      </c>
      <c r="H18" s="97" t="s">
        <v>38</v>
      </c>
      <c r="I18" s="97">
        <v>1</v>
      </c>
      <c r="J18" s="97">
        <v>2</v>
      </c>
      <c r="K18" s="78">
        <f t="shared" si="1"/>
        <v>8</v>
      </c>
      <c r="L18" s="79">
        <v>0</v>
      </c>
      <c r="M18" s="236">
        <f t="shared" si="2"/>
        <v>8</v>
      </c>
      <c r="N18" s="98"/>
      <c r="O18" s="98"/>
      <c r="P18" s="82">
        <f t="shared" si="3"/>
        <v>0</v>
      </c>
      <c r="Q18" s="83">
        <f t="shared" si="4"/>
        <v>0</v>
      </c>
      <c r="R18" s="84">
        <f t="shared" si="5"/>
        <v>0</v>
      </c>
      <c r="S18" s="83">
        <f t="shared" si="6"/>
        <v>0</v>
      </c>
      <c r="T18" s="111"/>
      <c r="U18" s="85"/>
      <c r="V18" s="78">
        <f t="shared" si="10"/>
        <v>0</v>
      </c>
      <c r="W18" s="78">
        <f t="shared" si="11"/>
        <v>0</v>
      </c>
      <c r="X18" s="87">
        <f t="shared" si="13"/>
        <v>0</v>
      </c>
      <c r="Y18" s="88">
        <f t="shared" si="14"/>
        <v>0</v>
      </c>
      <c r="Z18" s="100">
        <f t="shared" si="7"/>
        <v>-8</v>
      </c>
      <c r="AA18" s="100">
        <f t="shared" si="8"/>
        <v>-8</v>
      </c>
      <c r="AB18" s="100">
        <f t="shared" si="12"/>
        <v>-8</v>
      </c>
      <c r="AC18" s="90">
        <v>3</v>
      </c>
      <c r="AD18" s="334">
        <f t="shared" si="9"/>
        <v>0</v>
      </c>
      <c r="AE18" s="101" t="s">
        <v>38</v>
      </c>
      <c r="AF18" s="101" t="s">
        <v>38</v>
      </c>
      <c r="AG18" s="101" t="s">
        <v>38</v>
      </c>
      <c r="AH18" s="101" t="s">
        <v>38</v>
      </c>
      <c r="AI18" s="101" t="s">
        <v>38</v>
      </c>
      <c r="AJ18" s="326">
        <v>0</v>
      </c>
      <c r="AK18" s="326">
        <v>0</v>
      </c>
      <c r="AL18" s="326">
        <v>0</v>
      </c>
      <c r="AM18" s="326">
        <v>0</v>
      </c>
      <c r="AN18" s="326">
        <v>0</v>
      </c>
      <c r="AO18" s="94"/>
      <c r="AP18" s="63"/>
    </row>
    <row r="19" spans="1:42" s="10" customFormat="1" ht="21.95" customHeight="1" x14ac:dyDescent="0.2">
      <c r="A19" s="112" t="s">
        <v>53</v>
      </c>
      <c r="B19" s="262"/>
      <c r="C19" s="96" t="s">
        <v>38</v>
      </c>
      <c r="D19" s="96" t="s">
        <v>38</v>
      </c>
      <c r="E19" s="96" t="s">
        <v>38</v>
      </c>
      <c r="F19" s="96" t="s">
        <v>38</v>
      </c>
      <c r="G19" s="97" t="s">
        <v>38</v>
      </c>
      <c r="H19" s="97" t="s">
        <v>38</v>
      </c>
      <c r="I19" s="97" t="s">
        <v>38</v>
      </c>
      <c r="J19" s="97" t="s">
        <v>38</v>
      </c>
      <c r="K19" s="78"/>
      <c r="L19" s="79">
        <v>0</v>
      </c>
      <c r="M19" s="236">
        <f t="shared" si="2"/>
        <v>0</v>
      </c>
      <c r="N19" s="98"/>
      <c r="O19" s="98"/>
      <c r="P19" s="82">
        <f t="shared" si="3"/>
        <v>0</v>
      </c>
      <c r="Q19" s="113" t="s">
        <v>38</v>
      </c>
      <c r="R19" s="114" t="s">
        <v>38</v>
      </c>
      <c r="S19" s="113" t="s">
        <v>38</v>
      </c>
      <c r="T19" s="115"/>
      <c r="U19" s="115"/>
      <c r="V19" s="78">
        <f t="shared" si="10"/>
        <v>0</v>
      </c>
      <c r="W19" s="115" t="s">
        <v>38</v>
      </c>
      <c r="X19" s="116" t="s">
        <v>38</v>
      </c>
      <c r="Y19" s="117" t="s">
        <v>38</v>
      </c>
      <c r="Z19" s="118" t="s">
        <v>38</v>
      </c>
      <c r="AA19" s="118" t="s">
        <v>38</v>
      </c>
      <c r="AB19" s="118" t="s">
        <v>38</v>
      </c>
      <c r="AC19" s="90" t="s">
        <v>38</v>
      </c>
      <c r="AD19" s="335" t="s">
        <v>38</v>
      </c>
      <c r="AE19" s="120" t="s">
        <v>38</v>
      </c>
      <c r="AF19" s="120" t="s">
        <v>38</v>
      </c>
      <c r="AG19" s="120" t="s">
        <v>38</v>
      </c>
      <c r="AH19" s="120" t="s">
        <v>38</v>
      </c>
      <c r="AI19" s="120" t="s">
        <v>38</v>
      </c>
      <c r="AJ19" s="327">
        <v>0</v>
      </c>
      <c r="AK19" s="327">
        <v>0</v>
      </c>
      <c r="AL19" s="327">
        <v>0</v>
      </c>
      <c r="AM19" s="327">
        <v>0</v>
      </c>
      <c r="AN19" s="327">
        <v>0</v>
      </c>
      <c r="AO19" s="94"/>
      <c r="AP19" s="63"/>
    </row>
    <row r="20" spans="1:42" s="9" customFormat="1" ht="21.95" customHeight="1" x14ac:dyDescent="0.2">
      <c r="A20" s="64" t="s">
        <v>54</v>
      </c>
      <c r="B20" s="264"/>
      <c r="C20" s="122">
        <f>SUM(C21:C45)</f>
        <v>0</v>
      </c>
      <c r="D20" s="122">
        <f t="shared" ref="D20:AO20" si="15">SUM(D21:D45)</f>
        <v>2</v>
      </c>
      <c r="E20" s="122">
        <f t="shared" si="15"/>
        <v>15</v>
      </c>
      <c r="F20" s="122">
        <f t="shared" si="15"/>
        <v>5</v>
      </c>
      <c r="G20" s="122">
        <f t="shared" si="15"/>
        <v>0</v>
      </c>
      <c r="H20" s="122">
        <f t="shared" si="15"/>
        <v>0</v>
      </c>
      <c r="I20" s="122">
        <f t="shared" si="15"/>
        <v>48</v>
      </c>
      <c r="J20" s="122">
        <f t="shared" si="15"/>
        <v>85</v>
      </c>
      <c r="K20" s="122">
        <f t="shared" si="15"/>
        <v>155</v>
      </c>
      <c r="L20" s="122">
        <f t="shared" si="15"/>
        <v>3</v>
      </c>
      <c r="M20" s="122">
        <f t="shared" si="15"/>
        <v>152</v>
      </c>
      <c r="N20" s="235">
        <f t="shared" si="15"/>
        <v>0</v>
      </c>
      <c r="O20" s="122">
        <f t="shared" si="15"/>
        <v>0</v>
      </c>
      <c r="P20" s="235">
        <f t="shared" si="15"/>
        <v>0</v>
      </c>
      <c r="Q20" s="122">
        <f t="shared" si="15"/>
        <v>0</v>
      </c>
      <c r="R20" s="235">
        <f t="shared" si="15"/>
        <v>0</v>
      </c>
      <c r="S20" s="122">
        <f t="shared" si="15"/>
        <v>0</v>
      </c>
      <c r="T20" s="255">
        <f t="shared" si="15"/>
        <v>0</v>
      </c>
      <c r="U20" s="255">
        <f t="shared" si="15"/>
        <v>0</v>
      </c>
      <c r="V20" s="255">
        <f t="shared" si="15"/>
        <v>0</v>
      </c>
      <c r="W20" s="255">
        <f t="shared" si="15"/>
        <v>0</v>
      </c>
      <c r="X20" s="122">
        <f t="shared" si="15"/>
        <v>0</v>
      </c>
      <c r="Y20" s="122">
        <f t="shared" si="15"/>
        <v>0</v>
      </c>
      <c r="Z20" s="122">
        <f t="shared" si="15"/>
        <v>-150</v>
      </c>
      <c r="AA20" s="122">
        <f t="shared" si="15"/>
        <v>-150</v>
      </c>
      <c r="AB20" s="122">
        <f t="shared" si="15"/>
        <v>-150</v>
      </c>
      <c r="AC20" s="122">
        <f t="shared" si="15"/>
        <v>117</v>
      </c>
      <c r="AD20" s="235">
        <f t="shared" si="15"/>
        <v>0</v>
      </c>
      <c r="AE20" s="122">
        <f t="shared" si="15"/>
        <v>3</v>
      </c>
      <c r="AF20" s="122">
        <f t="shared" si="15"/>
        <v>2</v>
      </c>
      <c r="AG20" s="122">
        <f t="shared" si="15"/>
        <v>2</v>
      </c>
      <c r="AH20" s="122">
        <f t="shared" si="15"/>
        <v>2</v>
      </c>
      <c r="AI20" s="122">
        <f t="shared" si="15"/>
        <v>5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122">
        <f t="shared" si="15"/>
        <v>0</v>
      </c>
      <c r="AP20" s="72"/>
    </row>
    <row r="21" spans="1:42" s="7" customFormat="1" ht="21.95" customHeight="1" x14ac:dyDescent="0.2">
      <c r="A21" s="123" t="s">
        <v>55</v>
      </c>
      <c r="B21" s="263" t="s">
        <v>21</v>
      </c>
      <c r="C21" s="96" t="s">
        <v>38</v>
      </c>
      <c r="D21" s="96" t="s">
        <v>38</v>
      </c>
      <c r="E21" s="96" t="s">
        <v>38</v>
      </c>
      <c r="F21" s="96" t="s">
        <v>38</v>
      </c>
      <c r="G21" s="97" t="s">
        <v>38</v>
      </c>
      <c r="H21" s="97" t="s">
        <v>38</v>
      </c>
      <c r="I21" s="97">
        <v>3</v>
      </c>
      <c r="J21" s="97">
        <v>4</v>
      </c>
      <c r="K21" s="78">
        <f t="shared" ref="K21:K44" si="16">SUM(D21:J21)</f>
        <v>7</v>
      </c>
      <c r="L21" s="79">
        <v>0</v>
      </c>
      <c r="M21" s="218">
        <f t="shared" ref="M21:M44" si="17">K21-L21</f>
        <v>7</v>
      </c>
      <c r="N21" s="81"/>
      <c r="O21" s="81"/>
      <c r="P21" s="82">
        <f>SUM(N21:N21)</f>
        <v>0</v>
      </c>
      <c r="Q21" s="83">
        <f>P21/30</f>
        <v>0</v>
      </c>
      <c r="R21" s="84">
        <f t="shared" ref="R21:R83" si="18">(P21*0.05)+P21</f>
        <v>0</v>
      </c>
      <c r="S21" s="83">
        <f>R21/30</f>
        <v>0</v>
      </c>
      <c r="T21" s="125"/>
      <c r="U21" s="85"/>
      <c r="V21" s="126">
        <f>SUM(T21:U21)</f>
        <v>0</v>
      </c>
      <c r="W21" s="78">
        <f t="shared" si="11"/>
        <v>0</v>
      </c>
      <c r="X21" s="87">
        <f t="shared" ref="X21:X72" si="19">V21/35</f>
        <v>0</v>
      </c>
      <c r="Y21" s="88">
        <f t="shared" si="14"/>
        <v>0</v>
      </c>
      <c r="Z21" s="89">
        <f t="shared" ref="Z21:Z33" si="20">Q21-M21</f>
        <v>-7</v>
      </c>
      <c r="AA21" s="89">
        <f t="shared" ref="AA21:AA33" si="21">X21-M21</f>
        <v>-7</v>
      </c>
      <c r="AB21" s="89">
        <f t="shared" si="12"/>
        <v>-7</v>
      </c>
      <c r="AC21" s="90">
        <v>5</v>
      </c>
      <c r="AD21" s="334">
        <f>P21/30</f>
        <v>0</v>
      </c>
      <c r="AE21" s="92" t="s">
        <v>38</v>
      </c>
      <c r="AF21" s="92" t="s">
        <v>38</v>
      </c>
      <c r="AG21" s="92" t="s">
        <v>38</v>
      </c>
      <c r="AH21" s="92" t="s">
        <v>38</v>
      </c>
      <c r="AI21" s="92" t="s">
        <v>38</v>
      </c>
      <c r="AJ21" s="326">
        <v>0</v>
      </c>
      <c r="AK21" s="326">
        <v>0</v>
      </c>
      <c r="AL21" s="326">
        <v>0</v>
      </c>
      <c r="AM21" s="326">
        <v>0</v>
      </c>
      <c r="AN21" s="326">
        <v>0</v>
      </c>
      <c r="AO21" s="94"/>
      <c r="AP21" s="95"/>
    </row>
    <row r="22" spans="1:42" s="7" customFormat="1" ht="21.95" customHeight="1" x14ac:dyDescent="0.2">
      <c r="A22" s="127" t="s">
        <v>56</v>
      </c>
      <c r="B22" s="263" t="s">
        <v>22</v>
      </c>
      <c r="C22" s="75" t="s">
        <v>38</v>
      </c>
      <c r="D22" s="75">
        <v>1</v>
      </c>
      <c r="E22" s="75">
        <v>1</v>
      </c>
      <c r="F22" s="75" t="s">
        <v>38</v>
      </c>
      <c r="G22" s="76" t="s">
        <v>38</v>
      </c>
      <c r="H22" s="76" t="s">
        <v>38</v>
      </c>
      <c r="I22" s="76">
        <v>2</v>
      </c>
      <c r="J22" s="77">
        <v>3</v>
      </c>
      <c r="K22" s="78">
        <f t="shared" si="16"/>
        <v>7</v>
      </c>
      <c r="L22" s="79">
        <v>0</v>
      </c>
      <c r="M22" s="218">
        <f t="shared" si="17"/>
        <v>7</v>
      </c>
      <c r="N22" s="81"/>
      <c r="O22" s="81"/>
      <c r="P22" s="82">
        <f>SUM(N22:N22)</f>
        <v>0</v>
      </c>
      <c r="Q22" s="83">
        <f>P22/8</f>
        <v>0</v>
      </c>
      <c r="R22" s="84">
        <f t="shared" si="18"/>
        <v>0</v>
      </c>
      <c r="S22" s="83">
        <f>R22/8</f>
        <v>0</v>
      </c>
      <c r="T22" s="125"/>
      <c r="U22" s="85"/>
      <c r="V22" s="126">
        <f t="shared" ref="V22:V45" si="22">SUM(T22:U22)</f>
        <v>0</v>
      </c>
      <c r="W22" s="78">
        <f t="shared" si="11"/>
        <v>0</v>
      </c>
      <c r="X22" s="87">
        <f t="shared" si="19"/>
        <v>0</v>
      </c>
      <c r="Y22" s="88">
        <f t="shared" si="14"/>
        <v>0</v>
      </c>
      <c r="Z22" s="89">
        <f t="shared" si="20"/>
        <v>-7</v>
      </c>
      <c r="AA22" s="89">
        <f t="shared" si="21"/>
        <v>-7</v>
      </c>
      <c r="AB22" s="89">
        <f t="shared" si="12"/>
        <v>-7</v>
      </c>
      <c r="AC22" s="90">
        <v>5</v>
      </c>
      <c r="AD22" s="334" t="s">
        <v>38</v>
      </c>
      <c r="AE22" s="92" t="s">
        <v>38</v>
      </c>
      <c r="AF22" s="92" t="s">
        <v>38</v>
      </c>
      <c r="AG22" s="92" t="s">
        <v>38</v>
      </c>
      <c r="AH22" s="92" t="s">
        <v>38</v>
      </c>
      <c r="AI22" s="92" t="s">
        <v>38</v>
      </c>
      <c r="AJ22" s="326">
        <v>0</v>
      </c>
      <c r="AK22" s="326">
        <v>0</v>
      </c>
      <c r="AL22" s="326">
        <v>0</v>
      </c>
      <c r="AM22" s="326">
        <v>0</v>
      </c>
      <c r="AN22" s="326">
        <v>0</v>
      </c>
      <c r="AO22" s="94"/>
      <c r="AP22" s="95"/>
    </row>
    <row r="23" spans="1:42" s="7" customFormat="1" ht="21.95" customHeight="1" x14ac:dyDescent="0.2">
      <c r="A23" s="127" t="s">
        <v>57</v>
      </c>
      <c r="B23" s="263" t="s">
        <v>21</v>
      </c>
      <c r="C23" s="96" t="s">
        <v>38</v>
      </c>
      <c r="D23" s="96" t="s">
        <v>38</v>
      </c>
      <c r="E23" s="96">
        <v>1</v>
      </c>
      <c r="F23" s="96" t="s">
        <v>38</v>
      </c>
      <c r="G23" s="97" t="s">
        <v>38</v>
      </c>
      <c r="H23" s="97" t="s">
        <v>38</v>
      </c>
      <c r="I23" s="97">
        <v>6</v>
      </c>
      <c r="J23" s="97">
        <v>1</v>
      </c>
      <c r="K23" s="78">
        <f t="shared" si="16"/>
        <v>8</v>
      </c>
      <c r="L23" s="79">
        <v>0</v>
      </c>
      <c r="M23" s="218">
        <f t="shared" si="17"/>
        <v>8</v>
      </c>
      <c r="N23" s="81"/>
      <c r="O23" s="81"/>
      <c r="P23" s="82">
        <f>SUM(N23:N23)</f>
        <v>0</v>
      </c>
      <c r="Q23" s="83">
        <f>P23/30</f>
        <v>0</v>
      </c>
      <c r="R23" s="84">
        <f t="shared" si="18"/>
        <v>0</v>
      </c>
      <c r="S23" s="83">
        <f>R23/30</f>
        <v>0</v>
      </c>
      <c r="T23" s="125"/>
      <c r="U23" s="85"/>
      <c r="V23" s="126">
        <f t="shared" si="22"/>
        <v>0</v>
      </c>
      <c r="W23" s="78">
        <f t="shared" si="11"/>
        <v>0</v>
      </c>
      <c r="X23" s="87">
        <f t="shared" si="19"/>
        <v>0</v>
      </c>
      <c r="Y23" s="88">
        <f t="shared" si="14"/>
        <v>0</v>
      </c>
      <c r="Z23" s="89">
        <f t="shared" si="20"/>
        <v>-8</v>
      </c>
      <c r="AA23" s="89">
        <f t="shared" si="21"/>
        <v>-8</v>
      </c>
      <c r="AB23" s="89">
        <f t="shared" si="12"/>
        <v>-8</v>
      </c>
      <c r="AC23" s="90">
        <v>5</v>
      </c>
      <c r="AD23" s="334">
        <f>P23/30</f>
        <v>0</v>
      </c>
      <c r="AE23" s="92" t="s">
        <v>38</v>
      </c>
      <c r="AF23" s="92" t="s">
        <v>38</v>
      </c>
      <c r="AG23" s="92" t="s">
        <v>38</v>
      </c>
      <c r="AH23" s="92" t="s">
        <v>38</v>
      </c>
      <c r="AI23" s="92" t="s">
        <v>38</v>
      </c>
      <c r="AJ23" s="326">
        <v>0</v>
      </c>
      <c r="AK23" s="326">
        <v>0</v>
      </c>
      <c r="AL23" s="326">
        <v>0</v>
      </c>
      <c r="AM23" s="326">
        <v>0</v>
      </c>
      <c r="AN23" s="326">
        <v>0</v>
      </c>
      <c r="AO23" s="94"/>
      <c r="AP23" s="95"/>
    </row>
    <row r="24" spans="1:42" s="7" customFormat="1" ht="21.95" customHeight="1" x14ac:dyDescent="0.55000000000000004">
      <c r="A24" s="129" t="s">
        <v>58</v>
      </c>
      <c r="B24" s="263" t="s">
        <v>23</v>
      </c>
      <c r="C24" s="75" t="s">
        <v>38</v>
      </c>
      <c r="D24" s="75" t="s">
        <v>38</v>
      </c>
      <c r="E24" s="75">
        <v>1</v>
      </c>
      <c r="F24" s="75" t="s">
        <v>38</v>
      </c>
      <c r="G24" s="76" t="s">
        <v>38</v>
      </c>
      <c r="H24" s="76" t="s">
        <v>38</v>
      </c>
      <c r="I24" s="76">
        <v>4</v>
      </c>
      <c r="J24" s="77">
        <v>3</v>
      </c>
      <c r="K24" s="78">
        <f t="shared" si="16"/>
        <v>8</v>
      </c>
      <c r="L24" s="79">
        <v>0</v>
      </c>
      <c r="M24" s="218">
        <f t="shared" si="17"/>
        <v>8</v>
      </c>
      <c r="N24" s="81"/>
      <c r="O24" s="81"/>
      <c r="P24" s="82">
        <f>SUM(N24:N24)</f>
        <v>0</v>
      </c>
      <c r="Q24" s="83">
        <f>P24/50</f>
        <v>0</v>
      </c>
      <c r="R24" s="84">
        <f t="shared" si="18"/>
        <v>0</v>
      </c>
      <c r="S24" s="83">
        <f>R24/50</f>
        <v>0</v>
      </c>
      <c r="T24" s="125"/>
      <c r="U24" s="85"/>
      <c r="V24" s="126">
        <f t="shared" si="22"/>
        <v>0</v>
      </c>
      <c r="W24" s="78">
        <f t="shared" si="11"/>
        <v>0</v>
      </c>
      <c r="X24" s="87">
        <f t="shared" si="19"/>
        <v>0</v>
      </c>
      <c r="Y24" s="88">
        <f t="shared" si="14"/>
        <v>0</v>
      </c>
      <c r="Z24" s="89">
        <f t="shared" si="20"/>
        <v>-8</v>
      </c>
      <c r="AA24" s="89">
        <f t="shared" si="21"/>
        <v>-8</v>
      </c>
      <c r="AB24" s="89">
        <f t="shared" si="12"/>
        <v>-8</v>
      </c>
      <c r="AC24" s="90">
        <v>5</v>
      </c>
      <c r="AD24" s="334" t="s">
        <v>38</v>
      </c>
      <c r="AE24" s="92" t="s">
        <v>38</v>
      </c>
      <c r="AF24" s="92" t="s">
        <v>38</v>
      </c>
      <c r="AG24" s="92" t="s">
        <v>38</v>
      </c>
      <c r="AH24" s="92" t="s">
        <v>38</v>
      </c>
      <c r="AI24" s="92">
        <v>1</v>
      </c>
      <c r="AJ24" s="326">
        <v>0</v>
      </c>
      <c r="AK24" s="326">
        <v>0</v>
      </c>
      <c r="AL24" s="326">
        <v>0</v>
      </c>
      <c r="AM24" s="326">
        <v>0</v>
      </c>
      <c r="AN24" s="326">
        <v>0</v>
      </c>
      <c r="AO24" s="94"/>
      <c r="AP24" s="95"/>
    </row>
    <row r="25" spans="1:42" s="7" customFormat="1" ht="21.95" customHeight="1" x14ac:dyDescent="0.2">
      <c r="A25" s="123" t="s">
        <v>59</v>
      </c>
      <c r="B25" s="263" t="s">
        <v>24</v>
      </c>
      <c r="C25" s="75" t="s">
        <v>38</v>
      </c>
      <c r="D25" s="75" t="s">
        <v>38</v>
      </c>
      <c r="E25" s="75">
        <v>2</v>
      </c>
      <c r="F25" s="75" t="s">
        <v>38</v>
      </c>
      <c r="G25" s="76" t="s">
        <v>38</v>
      </c>
      <c r="H25" s="76" t="s">
        <v>38</v>
      </c>
      <c r="I25" s="76">
        <v>2</v>
      </c>
      <c r="J25" s="77">
        <v>1</v>
      </c>
      <c r="K25" s="78">
        <f t="shared" si="16"/>
        <v>5</v>
      </c>
      <c r="L25" s="79">
        <v>0</v>
      </c>
      <c r="M25" s="218">
        <f t="shared" si="17"/>
        <v>5</v>
      </c>
      <c r="N25" s="81"/>
      <c r="O25" s="81"/>
      <c r="P25" s="82">
        <f>SUM(N25:N25)</f>
        <v>0</v>
      </c>
      <c r="Q25" s="83">
        <f>P25/8</f>
        <v>0</v>
      </c>
      <c r="R25" s="84">
        <f t="shared" si="18"/>
        <v>0</v>
      </c>
      <c r="S25" s="83">
        <f>R25/8</f>
        <v>0</v>
      </c>
      <c r="T25" s="103"/>
      <c r="U25" s="85"/>
      <c r="V25" s="126">
        <f t="shared" si="22"/>
        <v>0</v>
      </c>
      <c r="W25" s="78">
        <f t="shared" si="11"/>
        <v>0</v>
      </c>
      <c r="X25" s="87">
        <f t="shared" si="19"/>
        <v>0</v>
      </c>
      <c r="Y25" s="88">
        <f t="shared" si="14"/>
        <v>0</v>
      </c>
      <c r="Z25" s="89">
        <f t="shared" si="20"/>
        <v>-5</v>
      </c>
      <c r="AA25" s="89">
        <f t="shared" si="21"/>
        <v>-5</v>
      </c>
      <c r="AB25" s="89">
        <f t="shared" si="12"/>
        <v>-5</v>
      </c>
      <c r="AC25" s="90">
        <v>5</v>
      </c>
      <c r="AD25" s="334" t="s">
        <v>38</v>
      </c>
      <c r="AE25" s="92" t="s">
        <v>38</v>
      </c>
      <c r="AF25" s="92" t="s">
        <v>38</v>
      </c>
      <c r="AG25" s="92" t="s">
        <v>38</v>
      </c>
      <c r="AH25" s="92" t="s">
        <v>38</v>
      </c>
      <c r="AI25" s="92">
        <v>1</v>
      </c>
      <c r="AJ25" s="326">
        <v>0</v>
      </c>
      <c r="AK25" s="326">
        <v>0</v>
      </c>
      <c r="AL25" s="326">
        <v>0</v>
      </c>
      <c r="AM25" s="326">
        <v>0</v>
      </c>
      <c r="AN25" s="326">
        <v>0</v>
      </c>
      <c r="AO25" s="94"/>
      <c r="AP25" s="95"/>
    </row>
    <row r="26" spans="1:42" s="7" customFormat="1" ht="21.95" customHeight="1" x14ac:dyDescent="0.2">
      <c r="A26" s="123" t="s">
        <v>60</v>
      </c>
      <c r="B26" s="263" t="s">
        <v>21</v>
      </c>
      <c r="C26" s="75" t="s">
        <v>38</v>
      </c>
      <c r="D26" s="75" t="s">
        <v>38</v>
      </c>
      <c r="E26" s="75">
        <v>1</v>
      </c>
      <c r="F26" s="75" t="s">
        <v>38</v>
      </c>
      <c r="G26" s="76" t="s">
        <v>38</v>
      </c>
      <c r="H26" s="76" t="s">
        <v>38</v>
      </c>
      <c r="I26" s="76">
        <v>5</v>
      </c>
      <c r="J26" s="77">
        <v>3</v>
      </c>
      <c r="K26" s="78">
        <f t="shared" si="16"/>
        <v>9</v>
      </c>
      <c r="L26" s="79">
        <v>0</v>
      </c>
      <c r="M26" s="218">
        <f t="shared" si="17"/>
        <v>9</v>
      </c>
      <c r="N26" s="81"/>
      <c r="O26" s="81"/>
      <c r="P26" s="82">
        <f t="shared" ref="P26:P44" si="23">SUM(N26:O26)</f>
        <v>0</v>
      </c>
      <c r="Q26" s="83">
        <f>P26/20</f>
        <v>0</v>
      </c>
      <c r="R26" s="84">
        <f t="shared" si="18"/>
        <v>0</v>
      </c>
      <c r="S26" s="83">
        <f>R26/20</f>
        <v>0</v>
      </c>
      <c r="T26" s="103"/>
      <c r="U26" s="85"/>
      <c r="V26" s="126">
        <f t="shared" si="22"/>
        <v>0</v>
      </c>
      <c r="W26" s="78">
        <f t="shared" si="11"/>
        <v>0</v>
      </c>
      <c r="X26" s="87">
        <f t="shared" si="19"/>
        <v>0</v>
      </c>
      <c r="Y26" s="88">
        <f t="shared" si="14"/>
        <v>0</v>
      </c>
      <c r="Z26" s="89">
        <f t="shared" si="20"/>
        <v>-9</v>
      </c>
      <c r="AA26" s="89">
        <f t="shared" si="21"/>
        <v>-9</v>
      </c>
      <c r="AB26" s="89">
        <f t="shared" si="12"/>
        <v>-9</v>
      </c>
      <c r="AC26" s="90">
        <v>5</v>
      </c>
      <c r="AD26" s="334">
        <f>P26/30</f>
        <v>0</v>
      </c>
      <c r="AE26" s="92" t="s">
        <v>38</v>
      </c>
      <c r="AF26" s="92" t="s">
        <v>38</v>
      </c>
      <c r="AG26" s="92" t="s">
        <v>38</v>
      </c>
      <c r="AH26" s="92">
        <v>2</v>
      </c>
      <c r="AI26" s="92" t="s">
        <v>38</v>
      </c>
      <c r="AJ26" s="326">
        <v>0</v>
      </c>
      <c r="AK26" s="326">
        <v>0</v>
      </c>
      <c r="AL26" s="326">
        <v>0</v>
      </c>
      <c r="AM26" s="326">
        <v>0</v>
      </c>
      <c r="AN26" s="326">
        <v>0</v>
      </c>
      <c r="AO26" s="94"/>
      <c r="AP26" s="95"/>
    </row>
    <row r="27" spans="1:42" s="7" customFormat="1" ht="21.95" customHeight="1" x14ac:dyDescent="0.2">
      <c r="A27" s="123" t="s">
        <v>61</v>
      </c>
      <c r="B27" s="263" t="s">
        <v>21</v>
      </c>
      <c r="C27" s="75" t="s">
        <v>38</v>
      </c>
      <c r="D27" s="75" t="s">
        <v>38</v>
      </c>
      <c r="E27" s="75" t="s">
        <v>38</v>
      </c>
      <c r="F27" s="75">
        <v>1</v>
      </c>
      <c r="G27" s="76" t="s">
        <v>38</v>
      </c>
      <c r="H27" s="76" t="s">
        <v>38</v>
      </c>
      <c r="I27" s="76">
        <v>2</v>
      </c>
      <c r="J27" s="77">
        <v>5</v>
      </c>
      <c r="K27" s="78">
        <f t="shared" si="16"/>
        <v>8</v>
      </c>
      <c r="L27" s="79">
        <v>0</v>
      </c>
      <c r="M27" s="218">
        <f t="shared" si="17"/>
        <v>8</v>
      </c>
      <c r="N27" s="81"/>
      <c r="O27" s="81"/>
      <c r="P27" s="82">
        <f t="shared" si="23"/>
        <v>0</v>
      </c>
      <c r="Q27" s="83">
        <f>P27/20</f>
        <v>0</v>
      </c>
      <c r="R27" s="84">
        <f t="shared" si="18"/>
        <v>0</v>
      </c>
      <c r="S27" s="83">
        <f>R27/20</f>
        <v>0</v>
      </c>
      <c r="T27" s="103"/>
      <c r="U27" s="85"/>
      <c r="V27" s="126">
        <f t="shared" si="22"/>
        <v>0</v>
      </c>
      <c r="W27" s="78">
        <f t="shared" si="11"/>
        <v>0</v>
      </c>
      <c r="X27" s="87">
        <f t="shared" si="19"/>
        <v>0</v>
      </c>
      <c r="Y27" s="88">
        <f t="shared" si="14"/>
        <v>0</v>
      </c>
      <c r="Z27" s="89">
        <f t="shared" si="20"/>
        <v>-8</v>
      </c>
      <c r="AA27" s="89">
        <f t="shared" si="21"/>
        <v>-8</v>
      </c>
      <c r="AB27" s="89">
        <f t="shared" si="12"/>
        <v>-8</v>
      </c>
      <c r="AC27" s="90">
        <v>5</v>
      </c>
      <c r="AD27" s="334" t="s">
        <v>38</v>
      </c>
      <c r="AE27" s="92" t="s">
        <v>38</v>
      </c>
      <c r="AF27" s="92" t="s">
        <v>38</v>
      </c>
      <c r="AG27" s="92">
        <v>1</v>
      </c>
      <c r="AH27" s="92" t="s">
        <v>38</v>
      </c>
      <c r="AI27" s="92" t="s">
        <v>38</v>
      </c>
      <c r="AJ27" s="326">
        <v>0</v>
      </c>
      <c r="AK27" s="326">
        <v>0</v>
      </c>
      <c r="AL27" s="326">
        <v>0</v>
      </c>
      <c r="AM27" s="326">
        <v>0</v>
      </c>
      <c r="AN27" s="326">
        <v>0</v>
      </c>
      <c r="AO27" s="94"/>
      <c r="AP27" s="95"/>
    </row>
    <row r="28" spans="1:42" s="7" customFormat="1" ht="21.95" customHeight="1" x14ac:dyDescent="0.2">
      <c r="A28" s="123" t="s">
        <v>62</v>
      </c>
      <c r="B28" s="263" t="s">
        <v>24</v>
      </c>
      <c r="C28" s="96" t="s">
        <v>38</v>
      </c>
      <c r="D28" s="96" t="s">
        <v>38</v>
      </c>
      <c r="E28" s="96" t="s">
        <v>38</v>
      </c>
      <c r="F28" s="96" t="s">
        <v>38</v>
      </c>
      <c r="G28" s="97" t="s">
        <v>38</v>
      </c>
      <c r="H28" s="97" t="s">
        <v>38</v>
      </c>
      <c r="I28" s="97" t="s">
        <v>38</v>
      </c>
      <c r="J28" s="97">
        <v>9</v>
      </c>
      <c r="K28" s="78">
        <f t="shared" si="16"/>
        <v>9</v>
      </c>
      <c r="L28" s="79">
        <v>0</v>
      </c>
      <c r="M28" s="218">
        <f t="shared" si="17"/>
        <v>9</v>
      </c>
      <c r="N28" s="81"/>
      <c r="O28" s="81"/>
      <c r="P28" s="82">
        <f t="shared" si="23"/>
        <v>0</v>
      </c>
      <c r="Q28" s="83">
        <f>P28/25</f>
        <v>0</v>
      </c>
      <c r="R28" s="84">
        <f t="shared" si="18"/>
        <v>0</v>
      </c>
      <c r="S28" s="83">
        <f>R28/25</f>
        <v>0</v>
      </c>
      <c r="T28" s="85"/>
      <c r="U28" s="85"/>
      <c r="V28" s="126">
        <f t="shared" si="22"/>
        <v>0</v>
      </c>
      <c r="W28" s="78">
        <f t="shared" si="11"/>
        <v>0</v>
      </c>
      <c r="X28" s="87">
        <f t="shared" si="19"/>
        <v>0</v>
      </c>
      <c r="Y28" s="88">
        <f t="shared" si="14"/>
        <v>0</v>
      </c>
      <c r="Z28" s="89">
        <f t="shared" si="20"/>
        <v>-9</v>
      </c>
      <c r="AA28" s="89">
        <f t="shared" si="21"/>
        <v>-9</v>
      </c>
      <c r="AB28" s="89">
        <f t="shared" si="12"/>
        <v>-9</v>
      </c>
      <c r="AC28" s="90">
        <v>5</v>
      </c>
      <c r="AD28" s="334" t="s">
        <v>38</v>
      </c>
      <c r="AE28" s="92" t="s">
        <v>38</v>
      </c>
      <c r="AF28" s="92" t="s">
        <v>38</v>
      </c>
      <c r="AG28" s="92" t="s">
        <v>38</v>
      </c>
      <c r="AH28" s="92" t="s">
        <v>38</v>
      </c>
      <c r="AI28" s="92" t="s">
        <v>38</v>
      </c>
      <c r="AJ28" s="326">
        <v>0</v>
      </c>
      <c r="AK28" s="326">
        <v>0</v>
      </c>
      <c r="AL28" s="326">
        <v>0</v>
      </c>
      <c r="AM28" s="326">
        <v>0</v>
      </c>
      <c r="AN28" s="326">
        <v>0</v>
      </c>
      <c r="AO28" s="94"/>
      <c r="AP28" s="95"/>
    </row>
    <row r="29" spans="1:42" s="7" customFormat="1" ht="21.95" customHeight="1" x14ac:dyDescent="0.2">
      <c r="A29" s="123" t="s">
        <v>63</v>
      </c>
      <c r="B29" s="263" t="s">
        <v>24</v>
      </c>
      <c r="C29" s="75" t="s">
        <v>38</v>
      </c>
      <c r="D29" s="75" t="s">
        <v>38</v>
      </c>
      <c r="E29" s="75">
        <v>1</v>
      </c>
      <c r="F29" s="75">
        <v>1</v>
      </c>
      <c r="G29" s="76" t="s">
        <v>38</v>
      </c>
      <c r="H29" s="76" t="s">
        <v>38</v>
      </c>
      <c r="I29" s="76" t="s">
        <v>38</v>
      </c>
      <c r="J29" s="77">
        <v>5</v>
      </c>
      <c r="K29" s="78">
        <f t="shared" si="16"/>
        <v>7</v>
      </c>
      <c r="L29" s="79">
        <v>0</v>
      </c>
      <c r="M29" s="218">
        <f t="shared" si="17"/>
        <v>7</v>
      </c>
      <c r="N29" s="81"/>
      <c r="O29" s="81"/>
      <c r="P29" s="82">
        <f t="shared" si="23"/>
        <v>0</v>
      </c>
      <c r="Q29" s="83">
        <f>P29/25</f>
        <v>0</v>
      </c>
      <c r="R29" s="84">
        <f t="shared" si="18"/>
        <v>0</v>
      </c>
      <c r="S29" s="83">
        <f>R29/25</f>
        <v>0</v>
      </c>
      <c r="T29" s="85"/>
      <c r="U29" s="85"/>
      <c r="V29" s="126">
        <f t="shared" si="22"/>
        <v>0</v>
      </c>
      <c r="W29" s="78">
        <f t="shared" si="11"/>
        <v>0</v>
      </c>
      <c r="X29" s="87">
        <f t="shared" si="19"/>
        <v>0</v>
      </c>
      <c r="Y29" s="88">
        <f t="shared" si="14"/>
        <v>0</v>
      </c>
      <c r="Z29" s="89">
        <f t="shared" si="20"/>
        <v>-7</v>
      </c>
      <c r="AA29" s="89">
        <f t="shared" si="21"/>
        <v>-7</v>
      </c>
      <c r="AB29" s="89">
        <f t="shared" si="12"/>
        <v>-7</v>
      </c>
      <c r="AC29" s="90">
        <v>5</v>
      </c>
      <c r="AD29" s="334" t="s">
        <v>38</v>
      </c>
      <c r="AE29" s="92" t="s">
        <v>38</v>
      </c>
      <c r="AF29" s="92" t="s">
        <v>38</v>
      </c>
      <c r="AG29" s="92" t="s">
        <v>38</v>
      </c>
      <c r="AH29" s="92" t="s">
        <v>38</v>
      </c>
      <c r="AI29" s="92" t="s">
        <v>38</v>
      </c>
      <c r="AJ29" s="326">
        <v>0</v>
      </c>
      <c r="AK29" s="326">
        <v>0</v>
      </c>
      <c r="AL29" s="326">
        <v>0</v>
      </c>
      <c r="AM29" s="326">
        <v>0</v>
      </c>
      <c r="AN29" s="326">
        <v>0</v>
      </c>
      <c r="AO29" s="94"/>
      <c r="AP29" s="95"/>
    </row>
    <row r="30" spans="1:42" s="7" customFormat="1" ht="21.95" customHeight="1" x14ac:dyDescent="0.2">
      <c r="A30" s="342" t="s">
        <v>64</v>
      </c>
      <c r="B30" s="263" t="s">
        <v>19</v>
      </c>
      <c r="C30" s="75" t="s">
        <v>38</v>
      </c>
      <c r="D30" s="75" t="s">
        <v>38</v>
      </c>
      <c r="E30" s="75" t="s">
        <v>38</v>
      </c>
      <c r="F30" s="75" t="s">
        <v>38</v>
      </c>
      <c r="G30" s="76" t="s">
        <v>38</v>
      </c>
      <c r="H30" s="76" t="s">
        <v>38</v>
      </c>
      <c r="I30" s="76">
        <v>2</v>
      </c>
      <c r="J30" s="76">
        <v>1</v>
      </c>
      <c r="K30" s="130">
        <f t="shared" si="16"/>
        <v>3</v>
      </c>
      <c r="L30" s="131">
        <v>0</v>
      </c>
      <c r="M30" s="238">
        <f t="shared" si="17"/>
        <v>3</v>
      </c>
      <c r="N30" s="133"/>
      <c r="O30" s="81"/>
      <c r="P30" s="82">
        <f t="shared" si="23"/>
        <v>0</v>
      </c>
      <c r="Q30" s="134">
        <f>P30/30</f>
        <v>0</v>
      </c>
      <c r="R30" s="84">
        <f t="shared" si="18"/>
        <v>0</v>
      </c>
      <c r="S30" s="135">
        <f>R30/30</f>
        <v>0</v>
      </c>
      <c r="T30" s="109"/>
      <c r="U30" s="136"/>
      <c r="V30" s="126">
        <f t="shared" si="22"/>
        <v>0</v>
      </c>
      <c r="W30" s="78">
        <f t="shared" si="11"/>
        <v>0</v>
      </c>
      <c r="X30" s="87">
        <f t="shared" si="19"/>
        <v>0</v>
      </c>
      <c r="Y30" s="88">
        <f t="shared" si="14"/>
        <v>0</v>
      </c>
      <c r="Z30" s="89">
        <f t="shared" si="20"/>
        <v>-3</v>
      </c>
      <c r="AA30" s="89">
        <f t="shared" si="21"/>
        <v>-3</v>
      </c>
      <c r="AB30" s="89">
        <f t="shared" si="12"/>
        <v>-3</v>
      </c>
      <c r="AC30" s="90">
        <v>3</v>
      </c>
      <c r="AD30" s="334" t="s">
        <v>38</v>
      </c>
      <c r="AE30" s="92" t="s">
        <v>38</v>
      </c>
      <c r="AF30" s="92" t="s">
        <v>38</v>
      </c>
      <c r="AG30" s="92" t="s">
        <v>38</v>
      </c>
      <c r="AH30" s="92" t="s">
        <v>38</v>
      </c>
      <c r="AI30" s="92" t="s">
        <v>38</v>
      </c>
      <c r="AJ30" s="326">
        <v>0</v>
      </c>
      <c r="AK30" s="326">
        <v>0</v>
      </c>
      <c r="AL30" s="326">
        <v>0</v>
      </c>
      <c r="AM30" s="326">
        <v>0</v>
      </c>
      <c r="AN30" s="326">
        <v>0</v>
      </c>
      <c r="AO30" s="94"/>
      <c r="AP30" s="95"/>
    </row>
    <row r="31" spans="1:42" s="7" customFormat="1" ht="21.95" customHeight="1" x14ac:dyDescent="0.2">
      <c r="A31" s="342"/>
      <c r="B31" s="263" t="s">
        <v>21</v>
      </c>
      <c r="C31" s="75" t="s">
        <v>38</v>
      </c>
      <c r="D31" s="75" t="s">
        <v>38</v>
      </c>
      <c r="E31" s="75" t="s">
        <v>38</v>
      </c>
      <c r="F31" s="75">
        <v>1</v>
      </c>
      <c r="G31" s="76" t="s">
        <v>38</v>
      </c>
      <c r="H31" s="76" t="s">
        <v>38</v>
      </c>
      <c r="I31" s="76">
        <v>2</v>
      </c>
      <c r="J31" s="76">
        <v>2</v>
      </c>
      <c r="K31" s="130">
        <f t="shared" si="16"/>
        <v>5</v>
      </c>
      <c r="L31" s="131">
        <v>0</v>
      </c>
      <c r="M31" s="238">
        <f t="shared" si="17"/>
        <v>5</v>
      </c>
      <c r="N31" s="133"/>
      <c r="O31" s="98"/>
      <c r="P31" s="82">
        <f t="shared" si="23"/>
        <v>0</v>
      </c>
      <c r="Q31" s="134">
        <f>P31/30</f>
        <v>0</v>
      </c>
      <c r="R31" s="84">
        <f t="shared" si="18"/>
        <v>0</v>
      </c>
      <c r="S31" s="135">
        <f>R31/30</f>
        <v>0</v>
      </c>
      <c r="T31" s="103"/>
      <c r="U31" s="136"/>
      <c r="V31" s="126">
        <f t="shared" si="22"/>
        <v>0</v>
      </c>
      <c r="W31" s="78">
        <f t="shared" si="11"/>
        <v>0</v>
      </c>
      <c r="X31" s="87">
        <f t="shared" si="19"/>
        <v>0</v>
      </c>
      <c r="Y31" s="88">
        <f t="shared" si="14"/>
        <v>0</v>
      </c>
      <c r="Z31" s="89">
        <f t="shared" si="20"/>
        <v>-5</v>
      </c>
      <c r="AA31" s="89">
        <f t="shared" si="21"/>
        <v>-5</v>
      </c>
      <c r="AB31" s="89">
        <f t="shared" si="12"/>
        <v>-5</v>
      </c>
      <c r="AC31" s="90">
        <v>5</v>
      </c>
      <c r="AD31" s="334" t="s">
        <v>38</v>
      </c>
      <c r="AE31" s="92" t="s">
        <v>38</v>
      </c>
      <c r="AF31" s="92" t="s">
        <v>38</v>
      </c>
      <c r="AG31" s="92" t="s">
        <v>38</v>
      </c>
      <c r="AH31" s="92" t="s">
        <v>38</v>
      </c>
      <c r="AI31" s="92" t="s">
        <v>38</v>
      </c>
      <c r="AJ31" s="326">
        <v>0</v>
      </c>
      <c r="AK31" s="326">
        <v>0</v>
      </c>
      <c r="AL31" s="326">
        <v>0</v>
      </c>
      <c r="AM31" s="326">
        <v>0</v>
      </c>
      <c r="AN31" s="326">
        <v>0</v>
      </c>
      <c r="AO31" s="94"/>
      <c r="AP31" s="95"/>
    </row>
    <row r="32" spans="1:42" s="7" customFormat="1" ht="21.95" customHeight="1" x14ac:dyDescent="0.2">
      <c r="A32" s="342"/>
      <c r="B32" s="263" t="s">
        <v>262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 t="s">
        <v>38</v>
      </c>
      <c r="I32" s="76">
        <v>2</v>
      </c>
      <c r="J32" s="76">
        <v>4</v>
      </c>
      <c r="K32" s="130">
        <f t="shared" si="16"/>
        <v>6</v>
      </c>
      <c r="L32" s="131">
        <v>1</v>
      </c>
      <c r="M32" s="238">
        <f t="shared" si="17"/>
        <v>5</v>
      </c>
      <c r="N32" s="133"/>
      <c r="O32" s="98"/>
      <c r="P32" s="82">
        <f t="shared" si="23"/>
        <v>0</v>
      </c>
      <c r="Q32" s="134">
        <f>P32/25</f>
        <v>0</v>
      </c>
      <c r="R32" s="84">
        <f t="shared" si="18"/>
        <v>0</v>
      </c>
      <c r="S32" s="135">
        <f>R32/25</f>
        <v>0</v>
      </c>
      <c r="T32" s="103"/>
      <c r="U32" s="136"/>
      <c r="V32" s="126">
        <f t="shared" si="22"/>
        <v>0</v>
      </c>
      <c r="W32" s="78">
        <f t="shared" si="11"/>
        <v>0</v>
      </c>
      <c r="X32" s="87">
        <f t="shared" si="19"/>
        <v>0</v>
      </c>
      <c r="Y32" s="88">
        <f t="shared" si="14"/>
        <v>0</v>
      </c>
      <c r="Z32" s="89">
        <f t="shared" si="20"/>
        <v>-5</v>
      </c>
      <c r="AA32" s="89">
        <f t="shared" si="21"/>
        <v>-5</v>
      </c>
      <c r="AB32" s="89">
        <f t="shared" si="12"/>
        <v>-5</v>
      </c>
      <c r="AC32" s="90">
        <v>5</v>
      </c>
      <c r="AD32" s="334" t="s">
        <v>38</v>
      </c>
      <c r="AE32" s="92" t="s">
        <v>38</v>
      </c>
      <c r="AF32" s="92" t="s">
        <v>38</v>
      </c>
      <c r="AG32" s="92" t="s">
        <v>38</v>
      </c>
      <c r="AH32" s="92" t="s">
        <v>38</v>
      </c>
      <c r="AI32" s="92" t="s">
        <v>38</v>
      </c>
      <c r="AJ32" s="326">
        <v>0</v>
      </c>
      <c r="AK32" s="326">
        <v>0</v>
      </c>
      <c r="AL32" s="326">
        <v>0</v>
      </c>
      <c r="AM32" s="326">
        <v>0</v>
      </c>
      <c r="AN32" s="326">
        <v>0</v>
      </c>
      <c r="AO32" s="94"/>
      <c r="AP32" s="95"/>
    </row>
    <row r="33" spans="1:42" s="7" customFormat="1" ht="21.95" customHeight="1" x14ac:dyDescent="0.2">
      <c r="A33" s="342"/>
      <c r="B33" s="263" t="s">
        <v>263</v>
      </c>
      <c r="C33" s="75" t="s">
        <v>38</v>
      </c>
      <c r="D33" s="75" t="s">
        <v>38</v>
      </c>
      <c r="E33" s="75" t="s">
        <v>38</v>
      </c>
      <c r="F33" s="75" t="s">
        <v>38</v>
      </c>
      <c r="G33" s="76" t="s">
        <v>38</v>
      </c>
      <c r="H33" s="76"/>
      <c r="I33" s="76">
        <v>2</v>
      </c>
      <c r="J33" s="76">
        <v>4</v>
      </c>
      <c r="K33" s="130">
        <f t="shared" si="16"/>
        <v>6</v>
      </c>
      <c r="L33" s="131">
        <v>0</v>
      </c>
      <c r="M33" s="238">
        <f t="shared" si="17"/>
        <v>6</v>
      </c>
      <c r="N33" s="81"/>
      <c r="O33" s="98"/>
      <c r="P33" s="82">
        <f t="shared" si="23"/>
        <v>0</v>
      </c>
      <c r="Q33" s="134">
        <f>P33/25</f>
        <v>0</v>
      </c>
      <c r="R33" s="84">
        <f t="shared" si="18"/>
        <v>0</v>
      </c>
      <c r="S33" s="135">
        <f>R33/25</f>
        <v>0</v>
      </c>
      <c r="T33" s="137"/>
      <c r="U33" s="136"/>
      <c r="V33" s="126">
        <f t="shared" si="22"/>
        <v>0</v>
      </c>
      <c r="W33" s="78">
        <f t="shared" si="11"/>
        <v>0</v>
      </c>
      <c r="X33" s="87">
        <f t="shared" si="19"/>
        <v>0</v>
      </c>
      <c r="Y33" s="88">
        <f t="shared" si="14"/>
        <v>0</v>
      </c>
      <c r="Z33" s="89">
        <f t="shared" si="20"/>
        <v>-6</v>
      </c>
      <c r="AA33" s="89">
        <f t="shared" si="21"/>
        <v>-6</v>
      </c>
      <c r="AB33" s="89">
        <f t="shared" si="12"/>
        <v>-6</v>
      </c>
      <c r="AC33" s="90">
        <v>5</v>
      </c>
      <c r="AD33" s="334" t="s">
        <v>38</v>
      </c>
      <c r="AE33" s="92"/>
      <c r="AF33" s="92"/>
      <c r="AG33" s="92"/>
      <c r="AH33" s="92"/>
      <c r="AI33" s="92"/>
      <c r="AJ33" s="326">
        <v>0</v>
      </c>
      <c r="AK33" s="326">
        <v>0</v>
      </c>
      <c r="AL33" s="326">
        <v>0</v>
      </c>
      <c r="AM33" s="326">
        <v>0</v>
      </c>
      <c r="AN33" s="326">
        <v>0</v>
      </c>
      <c r="AO33" s="94"/>
      <c r="AP33" s="95"/>
    </row>
    <row r="34" spans="1:42" s="10" customFormat="1" ht="21.95" customHeight="1" x14ac:dyDescent="0.2">
      <c r="A34" s="138" t="s">
        <v>65</v>
      </c>
      <c r="B34" s="262" t="s">
        <v>38</v>
      </c>
      <c r="C34" s="96" t="s">
        <v>38</v>
      </c>
      <c r="D34" s="96" t="s">
        <v>38</v>
      </c>
      <c r="E34" s="96" t="s">
        <v>38</v>
      </c>
      <c r="F34" s="96" t="s">
        <v>38</v>
      </c>
      <c r="G34" s="97" t="s">
        <v>38</v>
      </c>
      <c r="H34" s="97" t="s">
        <v>38</v>
      </c>
      <c r="I34" s="97" t="s">
        <v>38</v>
      </c>
      <c r="J34" s="97">
        <v>2</v>
      </c>
      <c r="K34" s="78">
        <f t="shared" si="16"/>
        <v>2</v>
      </c>
      <c r="L34" s="79">
        <v>0</v>
      </c>
      <c r="M34" s="236">
        <f t="shared" si="17"/>
        <v>2</v>
      </c>
      <c r="N34" s="98"/>
      <c r="O34" s="98"/>
      <c r="P34" s="82">
        <f t="shared" si="23"/>
        <v>0</v>
      </c>
      <c r="Q34" s="83">
        <v>0</v>
      </c>
      <c r="R34" s="84">
        <f t="shared" si="18"/>
        <v>0</v>
      </c>
      <c r="S34" s="83">
        <v>0</v>
      </c>
      <c r="T34" s="85"/>
      <c r="U34" s="85"/>
      <c r="V34" s="126">
        <f t="shared" si="22"/>
        <v>0</v>
      </c>
      <c r="W34" s="78">
        <f t="shared" si="11"/>
        <v>0</v>
      </c>
      <c r="X34" s="87">
        <f t="shared" si="19"/>
        <v>0</v>
      </c>
      <c r="Y34" s="88">
        <f t="shared" si="14"/>
        <v>0</v>
      </c>
      <c r="Z34" s="100">
        <v>0</v>
      </c>
      <c r="AA34" s="100">
        <v>0</v>
      </c>
      <c r="AB34" s="100">
        <v>0</v>
      </c>
      <c r="AC34" s="90">
        <v>5</v>
      </c>
      <c r="AD34" s="334" t="s">
        <v>38</v>
      </c>
      <c r="AE34" s="101" t="s">
        <v>38</v>
      </c>
      <c r="AF34" s="101" t="s">
        <v>38</v>
      </c>
      <c r="AG34" s="101" t="s">
        <v>38</v>
      </c>
      <c r="AH34" s="101" t="s">
        <v>38</v>
      </c>
      <c r="AI34" s="101" t="s">
        <v>38</v>
      </c>
      <c r="AJ34" s="326">
        <v>0</v>
      </c>
      <c r="AK34" s="326">
        <v>0</v>
      </c>
      <c r="AL34" s="326">
        <v>0</v>
      </c>
      <c r="AM34" s="326">
        <v>0</v>
      </c>
      <c r="AN34" s="326">
        <v>0</v>
      </c>
      <c r="AO34" s="94"/>
      <c r="AP34" s="63"/>
    </row>
    <row r="35" spans="1:42" s="8" customFormat="1" ht="21.95" customHeight="1" x14ac:dyDescent="0.2">
      <c r="A35" s="343" t="s">
        <v>66</v>
      </c>
      <c r="B35" s="263" t="s">
        <v>21</v>
      </c>
      <c r="C35" s="75" t="s">
        <v>38</v>
      </c>
      <c r="D35" s="75" t="s">
        <v>38</v>
      </c>
      <c r="E35" s="75" t="s">
        <v>38</v>
      </c>
      <c r="F35" s="75" t="s">
        <v>38</v>
      </c>
      <c r="G35" s="76" t="s">
        <v>38</v>
      </c>
      <c r="H35" s="76" t="s">
        <v>38</v>
      </c>
      <c r="I35" s="76">
        <v>1</v>
      </c>
      <c r="J35" s="76">
        <v>5</v>
      </c>
      <c r="K35" s="108">
        <f t="shared" si="16"/>
        <v>6</v>
      </c>
      <c r="L35" s="79">
        <v>0</v>
      </c>
      <c r="M35" s="237">
        <f t="shared" si="17"/>
        <v>6</v>
      </c>
      <c r="N35" s="98"/>
      <c r="O35" s="98"/>
      <c r="P35" s="82">
        <f t="shared" si="23"/>
        <v>0</v>
      </c>
      <c r="Q35" s="134">
        <f>P35/30</f>
        <v>0</v>
      </c>
      <c r="R35" s="84">
        <f t="shared" si="18"/>
        <v>0</v>
      </c>
      <c r="S35" s="135">
        <f>R35/30</f>
        <v>0</v>
      </c>
      <c r="T35" s="103"/>
      <c r="U35" s="136"/>
      <c r="V35" s="126">
        <f t="shared" si="22"/>
        <v>0</v>
      </c>
      <c r="W35" s="78">
        <f t="shared" si="11"/>
        <v>0</v>
      </c>
      <c r="X35" s="87">
        <f t="shared" si="19"/>
        <v>0</v>
      </c>
      <c r="Y35" s="88">
        <f t="shared" si="14"/>
        <v>0</v>
      </c>
      <c r="Z35" s="89">
        <f t="shared" ref="Z35:Z44" si="24">Q35-M35</f>
        <v>-6</v>
      </c>
      <c r="AA35" s="141">
        <f t="shared" ref="AA35:AA44" si="25">X35-M35</f>
        <v>-6</v>
      </c>
      <c r="AB35" s="89">
        <f t="shared" ref="AB35:AB96" si="26">Y35-M35</f>
        <v>-6</v>
      </c>
      <c r="AC35" s="90">
        <v>5</v>
      </c>
      <c r="AD35" s="334">
        <f>P35/30</f>
        <v>0</v>
      </c>
      <c r="AE35" s="101" t="s">
        <v>38</v>
      </c>
      <c r="AF35" s="101" t="s">
        <v>38</v>
      </c>
      <c r="AG35" s="101" t="s">
        <v>38</v>
      </c>
      <c r="AH35" s="101" t="s">
        <v>38</v>
      </c>
      <c r="AI35" s="101" t="s">
        <v>38</v>
      </c>
      <c r="AJ35" s="326">
        <v>0</v>
      </c>
      <c r="AK35" s="326">
        <v>0</v>
      </c>
      <c r="AL35" s="326">
        <v>0</v>
      </c>
      <c r="AM35" s="326">
        <v>0</v>
      </c>
      <c r="AN35" s="326">
        <v>0</v>
      </c>
      <c r="AO35" s="142"/>
      <c r="AP35" s="143"/>
    </row>
    <row r="36" spans="1:42" ht="21.95" customHeight="1" x14ac:dyDescent="0.2">
      <c r="A36" s="343"/>
      <c r="B36" s="263" t="s">
        <v>40</v>
      </c>
      <c r="C36" s="75" t="s">
        <v>38</v>
      </c>
      <c r="D36" s="75" t="s">
        <v>38</v>
      </c>
      <c r="E36" s="75">
        <v>2</v>
      </c>
      <c r="F36" s="75" t="s">
        <v>38</v>
      </c>
      <c r="G36" s="76" t="s">
        <v>38</v>
      </c>
      <c r="H36" s="76" t="s">
        <v>38</v>
      </c>
      <c r="I36" s="76"/>
      <c r="J36" s="76">
        <v>11</v>
      </c>
      <c r="K36" s="108">
        <f t="shared" si="16"/>
        <v>13</v>
      </c>
      <c r="L36" s="144">
        <v>1</v>
      </c>
      <c r="M36" s="237">
        <f t="shared" si="17"/>
        <v>12</v>
      </c>
      <c r="N36" s="133"/>
      <c r="O36" s="98"/>
      <c r="P36" s="82">
        <f t="shared" si="23"/>
        <v>0</v>
      </c>
      <c r="Q36" s="134">
        <f>P36/25</f>
        <v>0</v>
      </c>
      <c r="R36" s="84">
        <f t="shared" si="18"/>
        <v>0</v>
      </c>
      <c r="S36" s="135">
        <f>R36/25</f>
        <v>0</v>
      </c>
      <c r="T36" s="103"/>
      <c r="U36" s="136"/>
      <c r="V36" s="126">
        <f t="shared" si="22"/>
        <v>0</v>
      </c>
      <c r="W36" s="78">
        <f t="shared" si="11"/>
        <v>0</v>
      </c>
      <c r="X36" s="87">
        <f t="shared" si="19"/>
        <v>0</v>
      </c>
      <c r="Y36" s="88">
        <f t="shared" si="14"/>
        <v>0</v>
      </c>
      <c r="Z36" s="89">
        <f t="shared" si="24"/>
        <v>-12</v>
      </c>
      <c r="AA36" s="141">
        <f t="shared" si="25"/>
        <v>-12</v>
      </c>
      <c r="AB36" s="89">
        <f t="shared" si="26"/>
        <v>-12</v>
      </c>
      <c r="AC36" s="145">
        <v>5</v>
      </c>
      <c r="AD36" s="334" t="s">
        <v>38</v>
      </c>
      <c r="AE36" s="94" t="s">
        <v>38</v>
      </c>
      <c r="AF36" s="94">
        <v>1</v>
      </c>
      <c r="AG36" s="94">
        <v>1</v>
      </c>
      <c r="AH36" s="94" t="s">
        <v>38</v>
      </c>
      <c r="AI36" s="146">
        <v>3</v>
      </c>
      <c r="AJ36" s="328">
        <v>0</v>
      </c>
      <c r="AK36" s="328">
        <v>0</v>
      </c>
      <c r="AL36" s="328">
        <v>0</v>
      </c>
      <c r="AM36" s="328">
        <v>0</v>
      </c>
      <c r="AN36" s="328">
        <v>0</v>
      </c>
      <c r="AO36" s="94"/>
      <c r="AP36" s="63"/>
    </row>
    <row r="37" spans="1:42" ht="21.75" customHeight="1" x14ac:dyDescent="0.2">
      <c r="A37" s="343"/>
      <c r="B37" s="263" t="s">
        <v>41</v>
      </c>
      <c r="C37" s="75" t="s">
        <v>38</v>
      </c>
      <c r="D37" s="75" t="s">
        <v>38</v>
      </c>
      <c r="E37" s="75" t="s">
        <v>38</v>
      </c>
      <c r="F37" s="75" t="s">
        <v>38</v>
      </c>
      <c r="G37" s="76" t="s">
        <v>38</v>
      </c>
      <c r="H37" s="76" t="s">
        <v>38</v>
      </c>
      <c r="I37" s="76">
        <v>2</v>
      </c>
      <c r="J37" s="76">
        <v>8</v>
      </c>
      <c r="K37" s="108">
        <f t="shared" si="16"/>
        <v>10</v>
      </c>
      <c r="L37" s="144">
        <v>1</v>
      </c>
      <c r="M37" s="237">
        <f t="shared" si="17"/>
        <v>9</v>
      </c>
      <c r="N37" s="133"/>
      <c r="O37" s="98"/>
      <c r="P37" s="82">
        <f t="shared" si="23"/>
        <v>0</v>
      </c>
      <c r="Q37" s="134">
        <f>P37/25</f>
        <v>0</v>
      </c>
      <c r="R37" s="84">
        <f t="shared" si="18"/>
        <v>0</v>
      </c>
      <c r="S37" s="135">
        <f>R37/25</f>
        <v>0</v>
      </c>
      <c r="T37" s="103"/>
      <c r="U37" s="136"/>
      <c r="V37" s="126">
        <f t="shared" si="22"/>
        <v>0</v>
      </c>
      <c r="W37" s="78">
        <f t="shared" si="11"/>
        <v>0</v>
      </c>
      <c r="X37" s="87">
        <f t="shared" si="19"/>
        <v>0</v>
      </c>
      <c r="Y37" s="88">
        <f t="shared" si="14"/>
        <v>0</v>
      </c>
      <c r="Z37" s="89">
        <f t="shared" si="24"/>
        <v>-9</v>
      </c>
      <c r="AA37" s="141">
        <f t="shared" si="25"/>
        <v>-9</v>
      </c>
      <c r="AB37" s="89">
        <f t="shared" si="26"/>
        <v>-9</v>
      </c>
      <c r="AC37" s="145">
        <v>5</v>
      </c>
      <c r="AD37" s="334" t="s">
        <v>38</v>
      </c>
      <c r="AE37" s="94" t="s">
        <v>38</v>
      </c>
      <c r="AF37" s="94" t="s">
        <v>38</v>
      </c>
      <c r="AG37" s="94" t="s">
        <v>38</v>
      </c>
      <c r="AH37" s="94" t="s">
        <v>38</v>
      </c>
      <c r="AI37" s="94" t="s">
        <v>38</v>
      </c>
      <c r="AJ37" s="328">
        <v>0</v>
      </c>
      <c r="AK37" s="328">
        <v>0</v>
      </c>
      <c r="AL37" s="328">
        <v>0</v>
      </c>
      <c r="AM37" s="328">
        <v>0</v>
      </c>
      <c r="AN37" s="328">
        <v>0</v>
      </c>
      <c r="AO37" s="94"/>
      <c r="AP37" s="63"/>
    </row>
    <row r="38" spans="1:42" ht="21.75" customHeight="1" x14ac:dyDescent="0.2">
      <c r="A38" s="343"/>
      <c r="B38" s="263" t="s">
        <v>20</v>
      </c>
      <c r="C38" s="75" t="s">
        <v>38</v>
      </c>
      <c r="D38" s="75" t="s">
        <v>38</v>
      </c>
      <c r="E38" s="75">
        <v>2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108">
        <f t="shared" si="16"/>
        <v>3</v>
      </c>
      <c r="L38" s="144">
        <v>0</v>
      </c>
      <c r="M38" s="237">
        <f t="shared" si="17"/>
        <v>3</v>
      </c>
      <c r="N38" s="81"/>
      <c r="O38" s="98"/>
      <c r="P38" s="82">
        <f t="shared" si="23"/>
        <v>0</v>
      </c>
      <c r="Q38" s="134">
        <f>P38/30</f>
        <v>0</v>
      </c>
      <c r="R38" s="84">
        <f t="shared" si="18"/>
        <v>0</v>
      </c>
      <c r="S38" s="135">
        <f>R38/30</f>
        <v>0</v>
      </c>
      <c r="T38" s="103"/>
      <c r="U38" s="136"/>
      <c r="V38" s="126">
        <f t="shared" si="22"/>
        <v>0</v>
      </c>
      <c r="W38" s="78">
        <f t="shared" si="11"/>
        <v>0</v>
      </c>
      <c r="X38" s="87">
        <f t="shared" si="19"/>
        <v>0</v>
      </c>
      <c r="Y38" s="88">
        <f t="shared" si="14"/>
        <v>0</v>
      </c>
      <c r="Z38" s="89">
        <f t="shared" si="24"/>
        <v>-3</v>
      </c>
      <c r="AA38" s="141">
        <f t="shared" si="25"/>
        <v>-3</v>
      </c>
      <c r="AB38" s="89">
        <f t="shared" si="26"/>
        <v>-3</v>
      </c>
      <c r="AC38" s="145">
        <v>3</v>
      </c>
      <c r="AD38" s="334" t="s">
        <v>38</v>
      </c>
      <c r="AE38" s="94" t="s">
        <v>38</v>
      </c>
      <c r="AF38" s="94" t="s">
        <v>38</v>
      </c>
      <c r="AG38" s="94" t="s">
        <v>38</v>
      </c>
      <c r="AH38" s="94" t="s">
        <v>38</v>
      </c>
      <c r="AI38" s="94" t="s">
        <v>38</v>
      </c>
      <c r="AJ38" s="328">
        <v>0</v>
      </c>
      <c r="AK38" s="328">
        <v>0</v>
      </c>
      <c r="AL38" s="328">
        <v>0</v>
      </c>
      <c r="AM38" s="328">
        <v>0</v>
      </c>
      <c r="AN38" s="328">
        <v>0</v>
      </c>
      <c r="AO38" s="146"/>
      <c r="AP38" s="63"/>
    </row>
    <row r="39" spans="1:42" ht="21.75" customHeight="1" x14ac:dyDescent="0.2">
      <c r="A39" s="343" t="s">
        <v>67</v>
      </c>
      <c r="B39" s="263" t="s">
        <v>110</v>
      </c>
      <c r="C39" s="75" t="s">
        <v>26</v>
      </c>
      <c r="D39" s="75">
        <v>1</v>
      </c>
      <c r="E39" s="75">
        <v>1</v>
      </c>
      <c r="F39" s="75" t="s">
        <v>38</v>
      </c>
      <c r="G39" s="76" t="s">
        <v>38</v>
      </c>
      <c r="H39" s="76" t="s">
        <v>38</v>
      </c>
      <c r="I39" s="76">
        <v>1</v>
      </c>
      <c r="J39" s="76" t="s">
        <v>38</v>
      </c>
      <c r="K39" s="130">
        <f t="shared" si="16"/>
        <v>3</v>
      </c>
      <c r="L39" s="131">
        <v>0</v>
      </c>
      <c r="M39" s="238">
        <f t="shared" si="17"/>
        <v>3</v>
      </c>
      <c r="N39" s="81"/>
      <c r="O39" s="81"/>
      <c r="P39" s="82">
        <f t="shared" si="23"/>
        <v>0</v>
      </c>
      <c r="Q39" s="134">
        <f>P39/25</f>
        <v>0</v>
      </c>
      <c r="R39" s="84">
        <f t="shared" si="18"/>
        <v>0</v>
      </c>
      <c r="S39" s="135">
        <f>R39/25</f>
        <v>0</v>
      </c>
      <c r="T39" s="96"/>
      <c r="U39" s="86"/>
      <c r="V39" s="126">
        <f t="shared" si="22"/>
        <v>0</v>
      </c>
      <c r="W39" s="78">
        <f t="shared" si="11"/>
        <v>0</v>
      </c>
      <c r="X39" s="87">
        <f t="shared" si="19"/>
        <v>0</v>
      </c>
      <c r="Y39" s="88">
        <f t="shared" si="14"/>
        <v>0</v>
      </c>
      <c r="Z39" s="89">
        <f t="shared" si="24"/>
        <v>-3</v>
      </c>
      <c r="AA39" s="141">
        <f t="shared" si="25"/>
        <v>-3</v>
      </c>
      <c r="AB39" s="89">
        <f t="shared" si="26"/>
        <v>-3</v>
      </c>
      <c r="AC39" s="145">
        <v>3</v>
      </c>
      <c r="AD39" s="334" t="s">
        <v>38</v>
      </c>
      <c r="AE39" s="94" t="s">
        <v>38</v>
      </c>
      <c r="AF39" s="94" t="s">
        <v>38</v>
      </c>
      <c r="AG39" s="94" t="s">
        <v>38</v>
      </c>
      <c r="AH39" s="94" t="s">
        <v>38</v>
      </c>
      <c r="AI39" s="94" t="s">
        <v>38</v>
      </c>
      <c r="AJ39" s="328">
        <v>0</v>
      </c>
      <c r="AK39" s="328">
        <v>0</v>
      </c>
      <c r="AL39" s="328">
        <v>0</v>
      </c>
      <c r="AM39" s="328">
        <v>0</v>
      </c>
      <c r="AN39" s="328">
        <v>0</v>
      </c>
      <c r="AO39" s="146"/>
      <c r="AP39" s="63"/>
    </row>
    <row r="40" spans="1:42" ht="21.75" customHeight="1" x14ac:dyDescent="0.2">
      <c r="A40" s="343"/>
      <c r="B40" s="263" t="s">
        <v>111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 t="s">
        <v>38</v>
      </c>
      <c r="K40" s="130">
        <f t="shared" si="16"/>
        <v>3</v>
      </c>
      <c r="L40" s="131">
        <v>0</v>
      </c>
      <c r="M40" s="238">
        <f t="shared" si="17"/>
        <v>3</v>
      </c>
      <c r="N40" s="98"/>
      <c r="O40" s="81"/>
      <c r="P40" s="82">
        <f t="shared" si="23"/>
        <v>0</v>
      </c>
      <c r="Q40" s="134">
        <f>P40/25</f>
        <v>0</v>
      </c>
      <c r="R40" s="84">
        <f t="shared" si="18"/>
        <v>0</v>
      </c>
      <c r="S40" s="135">
        <f>R40/25</f>
        <v>0</v>
      </c>
      <c r="T40" s="96"/>
      <c r="U40" s="86"/>
      <c r="V40" s="126">
        <f t="shared" si="22"/>
        <v>0</v>
      </c>
      <c r="W40" s="78">
        <f t="shared" si="11"/>
        <v>0</v>
      </c>
      <c r="X40" s="87">
        <f t="shared" si="19"/>
        <v>0</v>
      </c>
      <c r="Y40" s="88">
        <f t="shared" si="14"/>
        <v>0</v>
      </c>
      <c r="Z40" s="89">
        <f t="shared" si="24"/>
        <v>-3</v>
      </c>
      <c r="AA40" s="141">
        <f t="shared" si="25"/>
        <v>-3</v>
      </c>
      <c r="AB40" s="89">
        <f t="shared" si="26"/>
        <v>-3</v>
      </c>
      <c r="AC40" s="145">
        <v>3</v>
      </c>
      <c r="AD40" s="334" t="s">
        <v>38</v>
      </c>
      <c r="AE40" s="94" t="s">
        <v>38</v>
      </c>
      <c r="AF40" s="94" t="s">
        <v>38</v>
      </c>
      <c r="AG40" s="94" t="s">
        <v>38</v>
      </c>
      <c r="AH40" s="94" t="s">
        <v>38</v>
      </c>
      <c r="AI40" s="94" t="s">
        <v>38</v>
      </c>
      <c r="AJ40" s="328">
        <v>0</v>
      </c>
      <c r="AK40" s="328">
        <v>0</v>
      </c>
      <c r="AL40" s="328">
        <v>0</v>
      </c>
      <c r="AM40" s="328">
        <v>0</v>
      </c>
      <c r="AN40" s="328">
        <v>0</v>
      </c>
      <c r="AO40" s="146"/>
      <c r="AP40" s="63"/>
    </row>
    <row r="41" spans="1:42" ht="21.75" customHeight="1" x14ac:dyDescent="0.2">
      <c r="A41" s="343"/>
      <c r="B41" s="263" t="s">
        <v>25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2</v>
      </c>
      <c r="J41" s="76">
        <v>3</v>
      </c>
      <c r="K41" s="130">
        <f t="shared" si="16"/>
        <v>6</v>
      </c>
      <c r="L41" s="131">
        <v>0</v>
      </c>
      <c r="M41" s="238">
        <f t="shared" si="17"/>
        <v>6</v>
      </c>
      <c r="N41" s="133"/>
      <c r="O41" s="98"/>
      <c r="P41" s="82">
        <f t="shared" si="23"/>
        <v>0</v>
      </c>
      <c r="Q41" s="134">
        <f>P41/25</f>
        <v>0</v>
      </c>
      <c r="R41" s="84">
        <f t="shared" si="18"/>
        <v>0</v>
      </c>
      <c r="S41" s="135">
        <f>R41/25</f>
        <v>0</v>
      </c>
      <c r="T41" s="103"/>
      <c r="U41" s="136"/>
      <c r="V41" s="126">
        <f t="shared" si="22"/>
        <v>0</v>
      </c>
      <c r="W41" s="78">
        <f t="shared" si="11"/>
        <v>0</v>
      </c>
      <c r="X41" s="87">
        <f t="shared" si="19"/>
        <v>0</v>
      </c>
      <c r="Y41" s="88">
        <f t="shared" si="14"/>
        <v>0</v>
      </c>
      <c r="Z41" s="89">
        <f t="shared" si="24"/>
        <v>-6</v>
      </c>
      <c r="AA41" s="141">
        <f t="shared" si="25"/>
        <v>-6</v>
      </c>
      <c r="AB41" s="89">
        <f t="shared" si="26"/>
        <v>-6</v>
      </c>
      <c r="AC41" s="145">
        <v>5</v>
      </c>
      <c r="AD41" s="334" t="s">
        <v>38</v>
      </c>
      <c r="AE41" s="94">
        <v>2</v>
      </c>
      <c r="AF41" s="94" t="s">
        <v>38</v>
      </c>
      <c r="AG41" s="94" t="s">
        <v>38</v>
      </c>
      <c r="AH41" s="94" t="s">
        <v>38</v>
      </c>
      <c r="AI41" s="94" t="s">
        <v>38</v>
      </c>
      <c r="AJ41" s="328">
        <v>0</v>
      </c>
      <c r="AK41" s="328">
        <v>0</v>
      </c>
      <c r="AL41" s="328">
        <v>0</v>
      </c>
      <c r="AM41" s="328">
        <v>0</v>
      </c>
      <c r="AN41" s="328">
        <v>0</v>
      </c>
      <c r="AO41" s="146"/>
      <c r="AP41" s="63"/>
    </row>
    <row r="42" spans="1:42" ht="21.75" customHeight="1" x14ac:dyDescent="0.2">
      <c r="A42" s="127" t="s">
        <v>68</v>
      </c>
      <c r="B42" s="263" t="s">
        <v>21</v>
      </c>
      <c r="C42" s="75" t="s">
        <v>38</v>
      </c>
      <c r="D42" s="75" t="s">
        <v>38</v>
      </c>
      <c r="E42" s="75">
        <v>1</v>
      </c>
      <c r="F42" s="75" t="s">
        <v>38</v>
      </c>
      <c r="G42" s="76" t="s">
        <v>38</v>
      </c>
      <c r="H42" s="76" t="s">
        <v>38</v>
      </c>
      <c r="I42" s="76">
        <v>3</v>
      </c>
      <c r="J42" s="77">
        <v>4</v>
      </c>
      <c r="K42" s="130">
        <f t="shared" si="16"/>
        <v>8</v>
      </c>
      <c r="L42" s="131">
        <v>0</v>
      </c>
      <c r="M42" s="238">
        <f t="shared" si="17"/>
        <v>8</v>
      </c>
      <c r="N42" s="81"/>
      <c r="O42" s="81"/>
      <c r="P42" s="82">
        <f t="shared" si="23"/>
        <v>0</v>
      </c>
      <c r="Q42" s="83">
        <f>P42/30</f>
        <v>0</v>
      </c>
      <c r="R42" s="84">
        <f t="shared" si="18"/>
        <v>0</v>
      </c>
      <c r="S42" s="83">
        <f>R42/30</f>
        <v>0</v>
      </c>
      <c r="T42" s="103"/>
      <c r="U42" s="85"/>
      <c r="V42" s="126">
        <f t="shared" si="22"/>
        <v>0</v>
      </c>
      <c r="W42" s="78">
        <f t="shared" si="11"/>
        <v>0</v>
      </c>
      <c r="X42" s="87">
        <f t="shared" si="19"/>
        <v>0</v>
      </c>
      <c r="Y42" s="88">
        <f t="shared" si="14"/>
        <v>0</v>
      </c>
      <c r="Z42" s="89">
        <f t="shared" si="24"/>
        <v>-8</v>
      </c>
      <c r="AA42" s="141">
        <f t="shared" si="25"/>
        <v>-8</v>
      </c>
      <c r="AB42" s="89">
        <f t="shared" si="26"/>
        <v>-8</v>
      </c>
      <c r="AC42" s="145">
        <v>5</v>
      </c>
      <c r="AD42" s="334">
        <f>P42/30</f>
        <v>0</v>
      </c>
      <c r="AE42" s="94">
        <v>1</v>
      </c>
      <c r="AF42" s="94" t="s">
        <v>38</v>
      </c>
      <c r="AG42" s="94" t="s">
        <v>38</v>
      </c>
      <c r="AH42" s="94" t="s">
        <v>38</v>
      </c>
      <c r="AI42" s="94" t="s">
        <v>38</v>
      </c>
      <c r="AJ42" s="328">
        <v>0</v>
      </c>
      <c r="AK42" s="328">
        <v>0</v>
      </c>
      <c r="AL42" s="328">
        <v>0</v>
      </c>
      <c r="AM42" s="328">
        <v>0</v>
      </c>
      <c r="AN42" s="328">
        <v>0</v>
      </c>
      <c r="AO42" s="94"/>
      <c r="AP42" s="63"/>
    </row>
    <row r="43" spans="1:42" ht="21.75" customHeight="1" x14ac:dyDescent="0.2">
      <c r="A43" s="127" t="s">
        <v>69</v>
      </c>
      <c r="B43" s="263" t="s">
        <v>22</v>
      </c>
      <c r="C43" s="75" t="s">
        <v>38</v>
      </c>
      <c r="D43" s="75" t="s">
        <v>38</v>
      </c>
      <c r="E43" s="75" t="s">
        <v>38</v>
      </c>
      <c r="F43" s="75">
        <v>1</v>
      </c>
      <c r="G43" s="76" t="s">
        <v>38</v>
      </c>
      <c r="H43" s="76" t="s">
        <v>38</v>
      </c>
      <c r="I43" s="76">
        <v>2</v>
      </c>
      <c r="J43" s="77">
        <v>2</v>
      </c>
      <c r="K43" s="78">
        <f t="shared" si="16"/>
        <v>5</v>
      </c>
      <c r="L43" s="79">
        <v>0</v>
      </c>
      <c r="M43" s="218">
        <f t="shared" si="17"/>
        <v>5</v>
      </c>
      <c r="N43" s="81"/>
      <c r="O43" s="81"/>
      <c r="P43" s="82">
        <f t="shared" si="23"/>
        <v>0</v>
      </c>
      <c r="Q43" s="83">
        <f>P43/8</f>
        <v>0</v>
      </c>
      <c r="R43" s="84">
        <f t="shared" si="18"/>
        <v>0</v>
      </c>
      <c r="S43" s="83">
        <f>R43/8</f>
        <v>0</v>
      </c>
      <c r="T43" s="103"/>
      <c r="U43" s="85"/>
      <c r="V43" s="126">
        <f t="shared" si="22"/>
        <v>0</v>
      </c>
      <c r="W43" s="78">
        <f t="shared" si="11"/>
        <v>0</v>
      </c>
      <c r="X43" s="87">
        <f t="shared" si="19"/>
        <v>0</v>
      </c>
      <c r="Y43" s="88">
        <f t="shared" si="14"/>
        <v>0</v>
      </c>
      <c r="Z43" s="89">
        <f t="shared" si="24"/>
        <v>-5</v>
      </c>
      <c r="AA43" s="141">
        <f t="shared" si="25"/>
        <v>-5</v>
      </c>
      <c r="AB43" s="89">
        <f t="shared" si="26"/>
        <v>-5</v>
      </c>
      <c r="AC43" s="145">
        <v>5</v>
      </c>
      <c r="AD43" s="334" t="s">
        <v>38</v>
      </c>
      <c r="AE43" s="94" t="s">
        <v>38</v>
      </c>
      <c r="AF43" s="94" t="s">
        <v>38</v>
      </c>
      <c r="AG43" s="94" t="s">
        <v>38</v>
      </c>
      <c r="AH43" s="94" t="s">
        <v>38</v>
      </c>
      <c r="AI43" s="94" t="s">
        <v>38</v>
      </c>
      <c r="AJ43" s="328">
        <v>0</v>
      </c>
      <c r="AK43" s="328">
        <v>0</v>
      </c>
      <c r="AL43" s="328">
        <v>0</v>
      </c>
      <c r="AM43" s="328">
        <v>0</v>
      </c>
      <c r="AN43" s="328">
        <v>0</v>
      </c>
      <c r="AO43" s="146"/>
      <c r="AP43" s="63"/>
    </row>
    <row r="44" spans="1:42" ht="21.75" customHeight="1" x14ac:dyDescent="0.2">
      <c r="A44" s="127" t="s">
        <v>70</v>
      </c>
      <c r="B44" s="263" t="s">
        <v>24</v>
      </c>
      <c r="C44" s="75" t="s">
        <v>38</v>
      </c>
      <c r="D44" s="75" t="s">
        <v>38</v>
      </c>
      <c r="E44" s="75">
        <v>0</v>
      </c>
      <c r="F44" s="75" t="s">
        <v>38</v>
      </c>
      <c r="G44" s="76" t="s">
        <v>38</v>
      </c>
      <c r="H44" s="76" t="s">
        <v>38</v>
      </c>
      <c r="I44" s="76">
        <v>1</v>
      </c>
      <c r="J44" s="77">
        <v>3</v>
      </c>
      <c r="K44" s="78">
        <f t="shared" si="16"/>
        <v>4</v>
      </c>
      <c r="L44" s="79">
        <v>0</v>
      </c>
      <c r="M44" s="218">
        <f t="shared" si="17"/>
        <v>4</v>
      </c>
      <c r="N44" s="81"/>
      <c r="O44" s="81"/>
      <c r="P44" s="82">
        <f t="shared" si="23"/>
        <v>0</v>
      </c>
      <c r="Q44" s="83">
        <f>P44/25</f>
        <v>0</v>
      </c>
      <c r="R44" s="84">
        <f t="shared" si="18"/>
        <v>0</v>
      </c>
      <c r="S44" s="83">
        <f>R44/25</f>
        <v>0</v>
      </c>
      <c r="T44" s="103"/>
      <c r="U44" s="85"/>
      <c r="V44" s="126">
        <f t="shared" si="22"/>
        <v>0</v>
      </c>
      <c r="W44" s="78">
        <f t="shared" si="11"/>
        <v>0</v>
      </c>
      <c r="X44" s="87">
        <f t="shared" si="19"/>
        <v>0</v>
      </c>
      <c r="Y44" s="88">
        <f t="shared" si="14"/>
        <v>0</v>
      </c>
      <c r="Z44" s="89">
        <f t="shared" si="24"/>
        <v>-4</v>
      </c>
      <c r="AA44" s="141">
        <f t="shared" si="25"/>
        <v>-4</v>
      </c>
      <c r="AB44" s="89">
        <f t="shared" si="26"/>
        <v>-4</v>
      </c>
      <c r="AC44" s="145">
        <v>5</v>
      </c>
      <c r="AD44" s="334" t="s">
        <v>38</v>
      </c>
      <c r="AE44" s="94" t="s">
        <v>38</v>
      </c>
      <c r="AF44" s="94">
        <v>1</v>
      </c>
      <c r="AG44" s="94" t="s">
        <v>38</v>
      </c>
      <c r="AH44" s="94" t="s">
        <v>38</v>
      </c>
      <c r="AI44" s="94" t="s">
        <v>38</v>
      </c>
      <c r="AJ44" s="328">
        <v>0</v>
      </c>
      <c r="AK44" s="328">
        <v>0</v>
      </c>
      <c r="AL44" s="328">
        <v>0</v>
      </c>
      <c r="AM44" s="328">
        <v>0</v>
      </c>
      <c r="AN44" s="328">
        <v>0</v>
      </c>
      <c r="AO44" s="146"/>
      <c r="AP44" s="63"/>
    </row>
    <row r="45" spans="1:42" ht="21.75" customHeight="1" x14ac:dyDescent="0.2">
      <c r="A45" s="127" t="s">
        <v>199</v>
      </c>
      <c r="B45" s="263" t="s">
        <v>198</v>
      </c>
      <c r="C45" s="75" t="s">
        <v>38</v>
      </c>
      <c r="D45" s="75" t="s">
        <v>38</v>
      </c>
      <c r="E45" s="75" t="s">
        <v>38</v>
      </c>
      <c r="F45" s="75">
        <v>1</v>
      </c>
      <c r="G45" s="76" t="s">
        <v>38</v>
      </c>
      <c r="H45" s="76" t="s">
        <v>38</v>
      </c>
      <c r="I45" s="76">
        <v>1</v>
      </c>
      <c r="J45" s="76">
        <v>2</v>
      </c>
      <c r="K45" s="130">
        <f>SUM(D45:J45)</f>
        <v>4</v>
      </c>
      <c r="L45" s="131">
        <v>0</v>
      </c>
      <c r="M45" s="238">
        <f>K45-L45</f>
        <v>4</v>
      </c>
      <c r="N45" s="133"/>
      <c r="O45" s="98"/>
      <c r="P45" s="82">
        <f>SUM(N45:O45)</f>
        <v>0</v>
      </c>
      <c r="Q45" s="134">
        <f>P45/25</f>
        <v>0</v>
      </c>
      <c r="R45" s="84">
        <f>(P45*0.05)+P45</f>
        <v>0</v>
      </c>
      <c r="S45" s="135">
        <f>R45/25</f>
        <v>0</v>
      </c>
      <c r="T45" s="136"/>
      <c r="U45" s="136"/>
      <c r="V45" s="126">
        <f t="shared" si="22"/>
        <v>0</v>
      </c>
      <c r="W45" s="78">
        <f>V45/2</f>
        <v>0</v>
      </c>
      <c r="X45" s="87">
        <f>V45/35</f>
        <v>0</v>
      </c>
      <c r="Y45" s="88">
        <f>W45/14</f>
        <v>0</v>
      </c>
      <c r="Z45" s="89">
        <f>Q45-M45</f>
        <v>-4</v>
      </c>
      <c r="AA45" s="141">
        <f>X45-M45</f>
        <v>-4</v>
      </c>
      <c r="AB45" s="89">
        <f>Y45-M45</f>
        <v>-4</v>
      </c>
      <c r="AC45" s="145">
        <v>5</v>
      </c>
      <c r="AD45" s="334" t="s">
        <v>38</v>
      </c>
      <c r="AE45" s="94" t="s">
        <v>38</v>
      </c>
      <c r="AF45" s="94" t="s">
        <v>38</v>
      </c>
      <c r="AG45" s="94" t="s">
        <v>38</v>
      </c>
      <c r="AH45" s="94" t="s">
        <v>38</v>
      </c>
      <c r="AI45" s="94" t="s">
        <v>38</v>
      </c>
      <c r="AJ45" s="328">
        <v>0</v>
      </c>
      <c r="AK45" s="328">
        <v>0</v>
      </c>
      <c r="AL45" s="328">
        <v>0</v>
      </c>
      <c r="AM45" s="328">
        <v>0</v>
      </c>
      <c r="AN45" s="328">
        <v>0</v>
      </c>
      <c r="AO45" s="146"/>
      <c r="AP45" s="63"/>
    </row>
    <row r="46" spans="1:42" s="18" customFormat="1" ht="21.75" customHeight="1" x14ac:dyDescent="0.2">
      <c r="A46" s="148" t="s">
        <v>71</v>
      </c>
      <c r="B46" s="265"/>
      <c r="C46" s="149">
        <f t="shared" ref="C46:Q46" si="27">SUM(C47:C72)</f>
        <v>0</v>
      </c>
      <c r="D46" s="149">
        <f t="shared" si="27"/>
        <v>4</v>
      </c>
      <c r="E46" s="149">
        <f t="shared" si="27"/>
        <v>23</v>
      </c>
      <c r="F46" s="149">
        <f t="shared" si="27"/>
        <v>13</v>
      </c>
      <c r="G46" s="149">
        <f t="shared" si="27"/>
        <v>0</v>
      </c>
      <c r="H46" s="149">
        <f t="shared" si="27"/>
        <v>2</v>
      </c>
      <c r="I46" s="149">
        <f t="shared" si="27"/>
        <v>43</v>
      </c>
      <c r="J46" s="149">
        <f t="shared" si="27"/>
        <v>64</v>
      </c>
      <c r="K46" s="150">
        <f t="shared" si="27"/>
        <v>149</v>
      </c>
      <c r="L46" s="150">
        <f t="shared" si="27"/>
        <v>6</v>
      </c>
      <c r="M46" s="150">
        <f t="shared" si="27"/>
        <v>143</v>
      </c>
      <c r="N46" s="251">
        <f t="shared" si="27"/>
        <v>0</v>
      </c>
      <c r="O46" s="251">
        <f t="shared" si="27"/>
        <v>0</v>
      </c>
      <c r="P46" s="251">
        <f t="shared" si="27"/>
        <v>0</v>
      </c>
      <c r="Q46" s="66">
        <f t="shared" si="27"/>
        <v>0</v>
      </c>
      <c r="R46" s="152">
        <f t="shared" si="18"/>
        <v>0</v>
      </c>
      <c r="S46" s="66">
        <f>SUM(S47:S72)</f>
        <v>0</v>
      </c>
      <c r="T46" s="251">
        <f>SUM(T47:T72)</f>
        <v>0</v>
      </c>
      <c r="U46" s="254">
        <v>0</v>
      </c>
      <c r="V46" s="253">
        <f>SUM(T46:U46)</f>
        <v>0</v>
      </c>
      <c r="W46" s="251">
        <f t="shared" si="11"/>
        <v>0</v>
      </c>
      <c r="X46" s="155">
        <f t="shared" si="19"/>
        <v>0</v>
      </c>
      <c r="Y46" s="155">
        <f t="shared" si="14"/>
        <v>0</v>
      </c>
      <c r="Z46" s="69">
        <f>SUM(Z47:Z72)</f>
        <v>-138</v>
      </c>
      <c r="AA46" s="69">
        <f>SUM(AA47:AA72)</f>
        <v>-138</v>
      </c>
      <c r="AB46" s="69">
        <f t="shared" si="26"/>
        <v>-143</v>
      </c>
      <c r="AC46" s="66">
        <f>SUM(AC47:AC72)</f>
        <v>120</v>
      </c>
      <c r="AD46" s="251">
        <v>0</v>
      </c>
      <c r="AE46" s="150">
        <f>SUM(AE47:AE72)</f>
        <v>1</v>
      </c>
      <c r="AF46" s="150">
        <f>SUM(AF47:AF72)</f>
        <v>3</v>
      </c>
      <c r="AG46" s="150">
        <f>SUM(AG47:AG72)</f>
        <v>2</v>
      </c>
      <c r="AH46" s="150">
        <f>SUM(AH47:AH72)</f>
        <v>5</v>
      </c>
      <c r="AI46" s="150">
        <f>SUM(AI47:AI72)</f>
        <v>0</v>
      </c>
      <c r="AJ46" s="251">
        <v>0</v>
      </c>
      <c r="AK46" s="251">
        <v>0</v>
      </c>
      <c r="AL46" s="251">
        <v>0</v>
      </c>
      <c r="AM46" s="251">
        <v>0</v>
      </c>
      <c r="AN46" s="251">
        <v>0</v>
      </c>
      <c r="AO46" s="156"/>
      <c r="AP46" s="72"/>
    </row>
    <row r="47" spans="1:42" ht="21.75" customHeight="1" x14ac:dyDescent="0.2">
      <c r="A47" s="325" t="s">
        <v>72</v>
      </c>
      <c r="B47" s="263" t="s">
        <v>27</v>
      </c>
      <c r="C47" s="158" t="s">
        <v>38</v>
      </c>
      <c r="D47" s="158" t="s">
        <v>38</v>
      </c>
      <c r="E47" s="158">
        <v>1</v>
      </c>
      <c r="F47" s="158">
        <v>2</v>
      </c>
      <c r="G47" s="76" t="s">
        <v>38</v>
      </c>
      <c r="H47" s="76" t="s">
        <v>38</v>
      </c>
      <c r="I47" s="76">
        <v>1</v>
      </c>
      <c r="J47" s="77">
        <v>4</v>
      </c>
      <c r="K47" s="299">
        <f t="shared" ref="K47:K60" si="28">SUM(D47:J47)</f>
        <v>8</v>
      </c>
      <c r="L47" s="79">
        <v>0</v>
      </c>
      <c r="M47" s="124">
        <f t="shared" ref="M47:M72" si="29">K47-L47</f>
        <v>8</v>
      </c>
      <c r="N47" s="81"/>
      <c r="O47" s="81"/>
      <c r="P47" s="82">
        <f>SUM(N47:O47)</f>
        <v>0</v>
      </c>
      <c r="Q47" s="83">
        <f>P47/20</f>
        <v>0</v>
      </c>
      <c r="R47" s="84">
        <f t="shared" si="18"/>
        <v>0</v>
      </c>
      <c r="S47" s="83">
        <f>R47/20</f>
        <v>0</v>
      </c>
      <c r="T47" s="103"/>
      <c r="U47" s="85"/>
      <c r="V47" s="136">
        <f>SUM(T47:U47)</f>
        <v>0</v>
      </c>
      <c r="W47" s="78">
        <f t="shared" si="11"/>
        <v>0</v>
      </c>
      <c r="X47" s="87">
        <f t="shared" si="19"/>
        <v>0</v>
      </c>
      <c r="Y47" s="88">
        <f t="shared" si="14"/>
        <v>0</v>
      </c>
      <c r="Z47" s="89">
        <f t="shared" ref="Z47:Z72" si="30">Q47-M47</f>
        <v>-8</v>
      </c>
      <c r="AA47" s="89">
        <f t="shared" ref="AA47:AA72" si="31">X47-M47</f>
        <v>-8</v>
      </c>
      <c r="AB47" s="89">
        <f t="shared" si="26"/>
        <v>-8</v>
      </c>
      <c r="AC47" s="159">
        <v>5</v>
      </c>
      <c r="AD47" s="334" t="s">
        <v>38</v>
      </c>
      <c r="AE47" s="94" t="s">
        <v>38</v>
      </c>
      <c r="AF47" s="94">
        <v>1</v>
      </c>
      <c r="AG47" s="94" t="s">
        <v>38</v>
      </c>
      <c r="AH47" s="146">
        <v>1</v>
      </c>
      <c r="AI47" s="94" t="s">
        <v>38</v>
      </c>
      <c r="AJ47" s="328">
        <v>0</v>
      </c>
      <c r="AK47" s="328">
        <v>0</v>
      </c>
      <c r="AL47" s="328">
        <v>0</v>
      </c>
      <c r="AM47" s="328">
        <v>0</v>
      </c>
      <c r="AN47" s="328">
        <v>0</v>
      </c>
      <c r="AO47" s="146"/>
      <c r="AP47" s="63"/>
    </row>
    <row r="48" spans="1:42" ht="21.75" customHeight="1" x14ac:dyDescent="0.2">
      <c r="A48" s="342" t="s">
        <v>73</v>
      </c>
      <c r="B48" s="263" t="s">
        <v>112</v>
      </c>
      <c r="C48" s="158" t="s">
        <v>38</v>
      </c>
      <c r="D48" s="158" t="s">
        <v>38</v>
      </c>
      <c r="E48" s="158">
        <v>1</v>
      </c>
      <c r="F48" s="158" t="s">
        <v>38</v>
      </c>
      <c r="G48" s="76" t="s">
        <v>38</v>
      </c>
      <c r="H48" s="76" t="s">
        <v>38</v>
      </c>
      <c r="I48" s="76">
        <v>2</v>
      </c>
      <c r="J48" s="77" t="s">
        <v>38</v>
      </c>
      <c r="K48" s="299">
        <f t="shared" si="28"/>
        <v>3</v>
      </c>
      <c r="L48" s="79">
        <v>0</v>
      </c>
      <c r="M48" s="124">
        <f t="shared" si="29"/>
        <v>3</v>
      </c>
      <c r="N48" s="161"/>
      <c r="O48" s="98"/>
      <c r="P48" s="82">
        <f>SUM(O48:O48)</f>
        <v>0</v>
      </c>
      <c r="Q48" s="83">
        <f>P48/30</f>
        <v>0</v>
      </c>
      <c r="R48" s="84">
        <f t="shared" si="18"/>
        <v>0</v>
      </c>
      <c r="S48" s="83">
        <f>R48/30</f>
        <v>0</v>
      </c>
      <c r="T48" s="96"/>
      <c r="U48" s="86"/>
      <c r="V48" s="136">
        <f t="shared" ref="V48:V72" si="32">SUM(T48:U48)</f>
        <v>0</v>
      </c>
      <c r="W48" s="78">
        <f t="shared" si="11"/>
        <v>0</v>
      </c>
      <c r="X48" s="87">
        <f t="shared" si="19"/>
        <v>0</v>
      </c>
      <c r="Y48" s="88">
        <f>W48/14</f>
        <v>0</v>
      </c>
      <c r="Z48" s="89">
        <f t="shared" si="30"/>
        <v>-3</v>
      </c>
      <c r="AA48" s="89">
        <f t="shared" si="31"/>
        <v>-3</v>
      </c>
      <c r="AB48" s="89">
        <f t="shared" si="26"/>
        <v>-3</v>
      </c>
      <c r="AC48" s="159">
        <v>3</v>
      </c>
      <c r="AD48" s="334" t="s">
        <v>38</v>
      </c>
      <c r="AE48" s="94" t="s">
        <v>38</v>
      </c>
      <c r="AF48" s="94" t="s">
        <v>38</v>
      </c>
      <c r="AG48" s="94" t="s">
        <v>38</v>
      </c>
      <c r="AH48" s="94" t="s">
        <v>38</v>
      </c>
      <c r="AI48" s="94" t="s">
        <v>38</v>
      </c>
      <c r="AJ48" s="328">
        <v>0</v>
      </c>
      <c r="AK48" s="328">
        <v>0</v>
      </c>
      <c r="AL48" s="328">
        <v>0</v>
      </c>
      <c r="AM48" s="328">
        <v>0</v>
      </c>
      <c r="AN48" s="328">
        <v>0</v>
      </c>
      <c r="AO48" s="146"/>
      <c r="AP48" s="63"/>
    </row>
    <row r="49" spans="1:42" ht="21.75" customHeight="1" x14ac:dyDescent="0.2">
      <c r="A49" s="342"/>
      <c r="B49" s="263" t="s">
        <v>113</v>
      </c>
      <c r="C49" s="158" t="s">
        <v>38</v>
      </c>
      <c r="D49" s="158" t="s">
        <v>38</v>
      </c>
      <c r="E49" s="158">
        <v>1</v>
      </c>
      <c r="F49" s="158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299">
        <f t="shared" si="28"/>
        <v>5</v>
      </c>
      <c r="L49" s="79">
        <v>0</v>
      </c>
      <c r="M49" s="124">
        <f t="shared" si="29"/>
        <v>5</v>
      </c>
      <c r="N49" s="98"/>
      <c r="O49" s="98"/>
      <c r="P49" s="82">
        <f t="shared" ref="P49:P72" si="33">SUM(N49:O49)</f>
        <v>0</v>
      </c>
      <c r="Q49" s="83">
        <f>P49/20</f>
        <v>0</v>
      </c>
      <c r="R49" s="84">
        <f t="shared" si="18"/>
        <v>0</v>
      </c>
      <c r="S49" s="83">
        <f>R49/20</f>
        <v>0</v>
      </c>
      <c r="T49" s="85"/>
      <c r="U49" s="85"/>
      <c r="V49" s="136">
        <f t="shared" si="32"/>
        <v>0</v>
      </c>
      <c r="W49" s="78">
        <f t="shared" si="11"/>
        <v>0</v>
      </c>
      <c r="X49" s="87">
        <f t="shared" si="19"/>
        <v>0</v>
      </c>
      <c r="Y49" s="88">
        <f t="shared" si="14"/>
        <v>0</v>
      </c>
      <c r="Z49" s="89">
        <f t="shared" si="30"/>
        <v>-5</v>
      </c>
      <c r="AA49" s="89">
        <f t="shared" si="31"/>
        <v>-5</v>
      </c>
      <c r="AB49" s="89">
        <f t="shared" si="26"/>
        <v>-5</v>
      </c>
      <c r="AC49" s="159">
        <v>5</v>
      </c>
      <c r="AD49" s="334" t="s">
        <v>38</v>
      </c>
      <c r="AE49" s="94" t="s">
        <v>38</v>
      </c>
      <c r="AF49" s="94" t="s">
        <v>38</v>
      </c>
      <c r="AG49" s="94" t="s">
        <v>38</v>
      </c>
      <c r="AH49" s="94" t="s">
        <v>38</v>
      </c>
      <c r="AI49" s="94" t="s">
        <v>38</v>
      </c>
      <c r="AJ49" s="328">
        <v>0</v>
      </c>
      <c r="AK49" s="328">
        <v>0</v>
      </c>
      <c r="AL49" s="328">
        <v>0</v>
      </c>
      <c r="AM49" s="328">
        <v>0</v>
      </c>
      <c r="AN49" s="328">
        <v>0</v>
      </c>
      <c r="AO49" s="146"/>
      <c r="AP49" s="63"/>
    </row>
    <row r="50" spans="1:42" ht="21.75" customHeight="1" x14ac:dyDescent="0.2">
      <c r="A50" s="342"/>
      <c r="B50" s="263" t="s">
        <v>114</v>
      </c>
      <c r="C50" s="158" t="s">
        <v>38</v>
      </c>
      <c r="D50" s="158" t="s">
        <v>38</v>
      </c>
      <c r="E50" s="158">
        <v>2</v>
      </c>
      <c r="F50" s="158" t="s">
        <v>38</v>
      </c>
      <c r="G50" s="76" t="s">
        <v>38</v>
      </c>
      <c r="H50" s="76" t="s">
        <v>38</v>
      </c>
      <c r="I50" s="76" t="s">
        <v>38</v>
      </c>
      <c r="J50" s="77">
        <v>4</v>
      </c>
      <c r="K50" s="299">
        <f t="shared" si="28"/>
        <v>6</v>
      </c>
      <c r="L50" s="79">
        <v>0</v>
      </c>
      <c r="M50" s="124">
        <f t="shared" si="29"/>
        <v>6</v>
      </c>
      <c r="N50" s="98"/>
      <c r="O50" s="98"/>
      <c r="P50" s="82">
        <f t="shared" si="33"/>
        <v>0</v>
      </c>
      <c r="Q50" s="83">
        <f>P50/30</f>
        <v>0</v>
      </c>
      <c r="R50" s="84">
        <f t="shared" si="18"/>
        <v>0</v>
      </c>
      <c r="S50" s="83">
        <f>R50/30</f>
        <v>0</v>
      </c>
      <c r="T50" s="85"/>
      <c r="U50" s="85"/>
      <c r="V50" s="136">
        <f t="shared" si="32"/>
        <v>0</v>
      </c>
      <c r="W50" s="78">
        <f t="shared" si="11"/>
        <v>0</v>
      </c>
      <c r="X50" s="87">
        <f t="shared" si="19"/>
        <v>0</v>
      </c>
      <c r="Y50" s="88">
        <f t="shared" si="14"/>
        <v>0</v>
      </c>
      <c r="Z50" s="89">
        <f t="shared" si="30"/>
        <v>-6</v>
      </c>
      <c r="AA50" s="89">
        <f t="shared" si="31"/>
        <v>-6</v>
      </c>
      <c r="AB50" s="89">
        <f t="shared" si="26"/>
        <v>-6</v>
      </c>
      <c r="AC50" s="159">
        <v>5</v>
      </c>
      <c r="AD50" s="334" t="s">
        <v>38</v>
      </c>
      <c r="AE50" s="94" t="s">
        <v>38</v>
      </c>
      <c r="AF50" s="94" t="s">
        <v>38</v>
      </c>
      <c r="AG50" s="94" t="s">
        <v>38</v>
      </c>
      <c r="AH50" s="94" t="s">
        <v>38</v>
      </c>
      <c r="AI50" s="94" t="s">
        <v>38</v>
      </c>
      <c r="AJ50" s="328">
        <v>0</v>
      </c>
      <c r="AK50" s="328">
        <v>0</v>
      </c>
      <c r="AL50" s="328">
        <v>0</v>
      </c>
      <c r="AM50" s="328">
        <v>0</v>
      </c>
      <c r="AN50" s="328">
        <v>0</v>
      </c>
      <c r="AO50" s="146"/>
      <c r="AP50" s="63"/>
    </row>
    <row r="51" spans="1:42" ht="21.75" customHeight="1" x14ac:dyDescent="0.2">
      <c r="A51" s="342" t="s">
        <v>74</v>
      </c>
      <c r="B51" s="263" t="s">
        <v>27</v>
      </c>
      <c r="C51" s="300" t="s">
        <v>38</v>
      </c>
      <c r="D51" s="300" t="s">
        <v>38</v>
      </c>
      <c r="E51" s="300">
        <v>1</v>
      </c>
      <c r="F51" s="300">
        <v>1</v>
      </c>
      <c r="G51" s="301" t="s">
        <v>38</v>
      </c>
      <c r="H51" s="301" t="s">
        <v>38</v>
      </c>
      <c r="I51" s="301">
        <v>3</v>
      </c>
      <c r="J51" s="302">
        <v>8</v>
      </c>
      <c r="K51" s="126">
        <v>13</v>
      </c>
      <c r="L51" s="79">
        <v>1</v>
      </c>
      <c r="M51" s="303">
        <v>12</v>
      </c>
      <c r="N51" s="98"/>
      <c r="O51" s="98"/>
      <c r="P51" s="82">
        <f t="shared" si="33"/>
        <v>0</v>
      </c>
      <c r="Q51" s="83">
        <f>P51/20</f>
        <v>0</v>
      </c>
      <c r="R51" s="84">
        <f t="shared" si="18"/>
        <v>0</v>
      </c>
      <c r="S51" s="83">
        <f>R51/20</f>
        <v>0</v>
      </c>
      <c r="T51" s="103"/>
      <c r="U51" s="85"/>
      <c r="V51" s="136">
        <f t="shared" si="32"/>
        <v>0</v>
      </c>
      <c r="W51" s="78">
        <f t="shared" si="11"/>
        <v>0</v>
      </c>
      <c r="X51" s="87">
        <f t="shared" si="19"/>
        <v>0</v>
      </c>
      <c r="Y51" s="88">
        <f t="shared" si="14"/>
        <v>0</v>
      </c>
      <c r="Z51" s="89">
        <f t="shared" si="30"/>
        <v>-12</v>
      </c>
      <c r="AA51" s="89">
        <f t="shared" si="31"/>
        <v>-12</v>
      </c>
      <c r="AB51" s="89">
        <f t="shared" si="26"/>
        <v>-12</v>
      </c>
      <c r="AC51" s="159">
        <v>5</v>
      </c>
      <c r="AD51" s="334" t="s">
        <v>38</v>
      </c>
      <c r="AE51" s="94" t="s">
        <v>38</v>
      </c>
      <c r="AF51" s="94" t="s">
        <v>38</v>
      </c>
      <c r="AG51" s="94">
        <v>1</v>
      </c>
      <c r="AH51" s="94" t="s">
        <v>38</v>
      </c>
      <c r="AI51" s="94" t="s">
        <v>38</v>
      </c>
      <c r="AJ51" s="328">
        <v>0</v>
      </c>
      <c r="AK51" s="328">
        <v>0</v>
      </c>
      <c r="AL51" s="328">
        <v>0</v>
      </c>
      <c r="AM51" s="328">
        <v>0</v>
      </c>
      <c r="AN51" s="328">
        <v>0</v>
      </c>
      <c r="AO51" s="146"/>
      <c r="AP51" s="63"/>
    </row>
    <row r="52" spans="1:42" ht="21.75" customHeight="1" x14ac:dyDescent="0.2">
      <c r="A52" s="342"/>
      <c r="B52" s="263" t="s">
        <v>21</v>
      </c>
      <c r="C52" s="300" t="s">
        <v>38</v>
      </c>
      <c r="D52" s="300" t="s">
        <v>38</v>
      </c>
      <c r="E52" s="300">
        <v>2</v>
      </c>
      <c r="F52" s="300" t="s">
        <v>38</v>
      </c>
      <c r="G52" s="301" t="s">
        <v>38</v>
      </c>
      <c r="H52" s="301" t="s">
        <v>38</v>
      </c>
      <c r="I52" s="301">
        <v>2</v>
      </c>
      <c r="J52" s="302">
        <v>2</v>
      </c>
      <c r="K52" s="126">
        <v>6</v>
      </c>
      <c r="L52" s="79">
        <v>0</v>
      </c>
      <c r="M52" s="303">
        <v>6</v>
      </c>
      <c r="N52" s="98"/>
      <c r="O52" s="98"/>
      <c r="P52" s="82">
        <f t="shared" si="33"/>
        <v>0</v>
      </c>
      <c r="Q52" s="83">
        <f>P52/30</f>
        <v>0</v>
      </c>
      <c r="R52" s="84">
        <f t="shared" si="18"/>
        <v>0</v>
      </c>
      <c r="S52" s="83">
        <f>R52/30</f>
        <v>0</v>
      </c>
      <c r="T52" s="103"/>
      <c r="U52" s="85"/>
      <c r="V52" s="136">
        <f t="shared" si="32"/>
        <v>0</v>
      </c>
      <c r="W52" s="78">
        <f t="shared" si="11"/>
        <v>0</v>
      </c>
      <c r="X52" s="87">
        <f t="shared" si="19"/>
        <v>0</v>
      </c>
      <c r="Y52" s="88">
        <f t="shared" si="14"/>
        <v>0</v>
      </c>
      <c r="Z52" s="89">
        <f t="shared" si="30"/>
        <v>-6</v>
      </c>
      <c r="AA52" s="89">
        <f t="shared" si="31"/>
        <v>-6</v>
      </c>
      <c r="AB52" s="89">
        <f t="shared" si="26"/>
        <v>-6</v>
      </c>
      <c r="AC52" s="159">
        <v>5</v>
      </c>
      <c r="AD52" s="334">
        <f>P52/30</f>
        <v>0</v>
      </c>
      <c r="AE52" s="94" t="s">
        <v>38</v>
      </c>
      <c r="AF52" s="94" t="s">
        <v>38</v>
      </c>
      <c r="AG52" s="94" t="s">
        <v>38</v>
      </c>
      <c r="AH52" s="94" t="s">
        <v>38</v>
      </c>
      <c r="AI52" s="94" t="s">
        <v>38</v>
      </c>
      <c r="AJ52" s="328">
        <v>0</v>
      </c>
      <c r="AK52" s="328">
        <v>0</v>
      </c>
      <c r="AL52" s="328">
        <v>0</v>
      </c>
      <c r="AM52" s="328">
        <v>0</v>
      </c>
      <c r="AN52" s="328">
        <v>0</v>
      </c>
      <c r="AO52" s="146"/>
      <c r="AP52" s="63"/>
    </row>
    <row r="53" spans="1:42" ht="21.75" customHeight="1" x14ac:dyDescent="0.2">
      <c r="A53" s="342" t="s">
        <v>75</v>
      </c>
      <c r="B53" s="263" t="s">
        <v>27</v>
      </c>
      <c r="C53" s="158" t="s">
        <v>38</v>
      </c>
      <c r="D53" s="158" t="s">
        <v>38</v>
      </c>
      <c r="E53" s="158">
        <v>2</v>
      </c>
      <c r="F53" s="158">
        <v>1</v>
      </c>
      <c r="G53" s="76" t="s">
        <v>38</v>
      </c>
      <c r="H53" s="76" t="s">
        <v>38</v>
      </c>
      <c r="I53" s="76">
        <v>5</v>
      </c>
      <c r="J53" s="77">
        <v>4</v>
      </c>
      <c r="K53" s="299">
        <f t="shared" si="28"/>
        <v>12</v>
      </c>
      <c r="L53" s="79">
        <v>1</v>
      </c>
      <c r="M53" s="124">
        <f t="shared" si="29"/>
        <v>11</v>
      </c>
      <c r="N53" s="98"/>
      <c r="O53" s="98"/>
      <c r="P53" s="82">
        <f t="shared" si="33"/>
        <v>0</v>
      </c>
      <c r="Q53" s="83">
        <f>P53/20</f>
        <v>0</v>
      </c>
      <c r="R53" s="84">
        <f t="shared" si="18"/>
        <v>0</v>
      </c>
      <c r="S53" s="83">
        <f>R53/20</f>
        <v>0</v>
      </c>
      <c r="T53" s="103"/>
      <c r="U53" s="85"/>
      <c r="V53" s="136">
        <f t="shared" si="32"/>
        <v>0</v>
      </c>
      <c r="W53" s="78">
        <f t="shared" si="11"/>
        <v>0</v>
      </c>
      <c r="X53" s="87">
        <f t="shared" si="19"/>
        <v>0</v>
      </c>
      <c r="Y53" s="88">
        <f t="shared" si="14"/>
        <v>0</v>
      </c>
      <c r="Z53" s="89">
        <f t="shared" si="30"/>
        <v>-11</v>
      </c>
      <c r="AA53" s="89">
        <f t="shared" si="31"/>
        <v>-11</v>
      </c>
      <c r="AB53" s="89">
        <f t="shared" si="26"/>
        <v>-11</v>
      </c>
      <c r="AC53" s="159">
        <v>5</v>
      </c>
      <c r="AD53" s="334" t="s">
        <v>38</v>
      </c>
      <c r="AE53" s="94" t="s">
        <v>38</v>
      </c>
      <c r="AF53" s="94">
        <v>1</v>
      </c>
      <c r="AG53" s="94">
        <v>1</v>
      </c>
      <c r="AH53" s="94" t="s">
        <v>38</v>
      </c>
      <c r="AI53" s="94" t="s">
        <v>38</v>
      </c>
      <c r="AJ53" s="328">
        <v>0</v>
      </c>
      <c r="AK53" s="328">
        <v>0</v>
      </c>
      <c r="AL53" s="328">
        <v>0</v>
      </c>
      <c r="AM53" s="328">
        <v>0</v>
      </c>
      <c r="AN53" s="328">
        <v>0</v>
      </c>
      <c r="AO53" s="146"/>
      <c r="AP53" s="63"/>
    </row>
    <row r="54" spans="1:42" ht="21.75" customHeight="1" x14ac:dyDescent="0.2">
      <c r="A54" s="342"/>
      <c r="B54" s="263" t="s">
        <v>21</v>
      </c>
      <c r="C54" s="158" t="s">
        <v>38</v>
      </c>
      <c r="D54" s="158" t="s">
        <v>38</v>
      </c>
      <c r="E54" s="158">
        <v>1</v>
      </c>
      <c r="F54" s="158" t="s">
        <v>38</v>
      </c>
      <c r="G54" s="76" t="s">
        <v>38</v>
      </c>
      <c r="H54" s="76" t="s">
        <v>38</v>
      </c>
      <c r="I54" s="76">
        <v>4</v>
      </c>
      <c r="J54" s="77">
        <v>1</v>
      </c>
      <c r="K54" s="299">
        <f t="shared" si="28"/>
        <v>6</v>
      </c>
      <c r="L54" s="79">
        <v>0</v>
      </c>
      <c r="M54" s="124">
        <f t="shared" si="29"/>
        <v>6</v>
      </c>
      <c r="N54" s="98"/>
      <c r="O54" s="98"/>
      <c r="P54" s="82">
        <f t="shared" si="33"/>
        <v>0</v>
      </c>
      <c r="Q54" s="83">
        <f>P54/30</f>
        <v>0</v>
      </c>
      <c r="R54" s="84">
        <f t="shared" si="18"/>
        <v>0</v>
      </c>
      <c r="S54" s="83">
        <f>R54/30</f>
        <v>0</v>
      </c>
      <c r="T54" s="103"/>
      <c r="U54" s="85"/>
      <c r="V54" s="136">
        <f t="shared" si="32"/>
        <v>0</v>
      </c>
      <c r="W54" s="78">
        <f t="shared" si="11"/>
        <v>0</v>
      </c>
      <c r="X54" s="87">
        <f t="shared" si="19"/>
        <v>0</v>
      </c>
      <c r="Y54" s="88">
        <f t="shared" si="14"/>
        <v>0</v>
      </c>
      <c r="Z54" s="89">
        <f t="shared" si="30"/>
        <v>-6</v>
      </c>
      <c r="AA54" s="89">
        <f t="shared" si="31"/>
        <v>-6</v>
      </c>
      <c r="AB54" s="89">
        <f t="shared" si="26"/>
        <v>-6</v>
      </c>
      <c r="AC54" s="159">
        <v>5</v>
      </c>
      <c r="AD54" s="334">
        <f>P54/30</f>
        <v>0</v>
      </c>
      <c r="AE54" s="94" t="s">
        <v>38</v>
      </c>
      <c r="AF54" s="94" t="s">
        <v>38</v>
      </c>
      <c r="AG54" s="94" t="s">
        <v>38</v>
      </c>
      <c r="AH54" s="94" t="s">
        <v>38</v>
      </c>
      <c r="AI54" s="94" t="s">
        <v>38</v>
      </c>
      <c r="AJ54" s="328">
        <v>0</v>
      </c>
      <c r="AK54" s="328">
        <v>0</v>
      </c>
      <c r="AL54" s="328">
        <v>0</v>
      </c>
      <c r="AM54" s="328">
        <v>0</v>
      </c>
      <c r="AN54" s="328">
        <v>0</v>
      </c>
      <c r="AO54" s="146"/>
      <c r="AP54" s="63"/>
    </row>
    <row r="55" spans="1:42" ht="21.75" customHeight="1" x14ac:dyDescent="0.2">
      <c r="A55" s="342" t="s">
        <v>76</v>
      </c>
      <c r="B55" s="263" t="s">
        <v>122</v>
      </c>
      <c r="C55" s="158" t="s">
        <v>38</v>
      </c>
      <c r="D55" s="158" t="s">
        <v>38</v>
      </c>
      <c r="E55" s="158">
        <v>1</v>
      </c>
      <c r="F55" s="158" t="s">
        <v>38</v>
      </c>
      <c r="G55" s="76" t="s">
        <v>38</v>
      </c>
      <c r="H55" s="76" t="s">
        <v>38</v>
      </c>
      <c r="I55" s="76" t="s">
        <v>38</v>
      </c>
      <c r="J55" s="77" t="s">
        <v>38</v>
      </c>
      <c r="K55" s="299">
        <f t="shared" si="28"/>
        <v>1</v>
      </c>
      <c r="L55" s="79">
        <v>0</v>
      </c>
      <c r="M55" s="124">
        <f t="shared" si="29"/>
        <v>1</v>
      </c>
      <c r="N55" s="98"/>
      <c r="O55" s="98"/>
      <c r="P55" s="82">
        <f t="shared" si="33"/>
        <v>0</v>
      </c>
      <c r="Q55" s="83">
        <f>P55/20</f>
        <v>0</v>
      </c>
      <c r="R55" s="84">
        <f t="shared" si="18"/>
        <v>0</v>
      </c>
      <c r="S55" s="83">
        <f>R55/20</f>
        <v>0</v>
      </c>
      <c r="T55" s="96"/>
      <c r="U55" s="86"/>
      <c r="V55" s="136">
        <f t="shared" si="32"/>
        <v>0</v>
      </c>
      <c r="W55" s="78">
        <f t="shared" si="11"/>
        <v>0</v>
      </c>
      <c r="X55" s="87">
        <f t="shared" si="19"/>
        <v>0</v>
      </c>
      <c r="Y55" s="88">
        <f t="shared" si="14"/>
        <v>0</v>
      </c>
      <c r="Z55" s="89">
        <f t="shared" si="30"/>
        <v>-1</v>
      </c>
      <c r="AA55" s="89">
        <f t="shared" si="31"/>
        <v>-1</v>
      </c>
      <c r="AB55" s="89">
        <f t="shared" si="26"/>
        <v>-1</v>
      </c>
      <c r="AC55" s="159">
        <v>3</v>
      </c>
      <c r="AD55" s="334" t="s">
        <v>38</v>
      </c>
      <c r="AE55" s="94" t="s">
        <v>38</v>
      </c>
      <c r="AF55" s="94" t="s">
        <v>38</v>
      </c>
      <c r="AG55" s="94" t="s">
        <v>38</v>
      </c>
      <c r="AH55" s="94">
        <v>1</v>
      </c>
      <c r="AI55" s="94" t="s">
        <v>38</v>
      </c>
      <c r="AJ55" s="328">
        <v>0</v>
      </c>
      <c r="AK55" s="328">
        <v>0</v>
      </c>
      <c r="AL55" s="328">
        <v>0</v>
      </c>
      <c r="AM55" s="328">
        <v>0</v>
      </c>
      <c r="AN55" s="328">
        <v>0</v>
      </c>
      <c r="AO55" s="146"/>
      <c r="AP55" s="63"/>
    </row>
    <row r="56" spans="1:42" ht="21.75" customHeight="1" x14ac:dyDescent="0.2">
      <c r="A56" s="342"/>
      <c r="B56" s="263" t="s">
        <v>115</v>
      </c>
      <c r="C56" s="158" t="s">
        <v>38</v>
      </c>
      <c r="D56" s="158" t="s">
        <v>38</v>
      </c>
      <c r="E56" s="158" t="s">
        <v>38</v>
      </c>
      <c r="F56" s="158" t="s">
        <v>38</v>
      </c>
      <c r="G56" s="76" t="s">
        <v>38</v>
      </c>
      <c r="H56" s="76" t="s">
        <v>38</v>
      </c>
      <c r="I56" s="76">
        <v>2</v>
      </c>
      <c r="J56" s="77">
        <v>3</v>
      </c>
      <c r="K56" s="299">
        <f t="shared" si="28"/>
        <v>5</v>
      </c>
      <c r="L56" s="79">
        <v>0</v>
      </c>
      <c r="M56" s="124">
        <f t="shared" si="29"/>
        <v>5</v>
      </c>
      <c r="N56" s="98"/>
      <c r="O56" s="98"/>
      <c r="P56" s="82">
        <f t="shared" si="33"/>
        <v>0</v>
      </c>
      <c r="Q56" s="83">
        <f>P56/20</f>
        <v>0</v>
      </c>
      <c r="R56" s="84">
        <f t="shared" si="18"/>
        <v>0</v>
      </c>
      <c r="S56" s="83">
        <f>R56/20</f>
        <v>0</v>
      </c>
      <c r="T56" s="103"/>
      <c r="U56" s="85"/>
      <c r="V56" s="136">
        <f t="shared" si="32"/>
        <v>0</v>
      </c>
      <c r="W56" s="78">
        <f t="shared" si="11"/>
        <v>0</v>
      </c>
      <c r="X56" s="87">
        <f t="shared" si="19"/>
        <v>0</v>
      </c>
      <c r="Y56" s="88">
        <f t="shared" si="14"/>
        <v>0</v>
      </c>
      <c r="Z56" s="89">
        <f t="shared" si="30"/>
        <v>-5</v>
      </c>
      <c r="AA56" s="89">
        <f t="shared" si="31"/>
        <v>-5</v>
      </c>
      <c r="AB56" s="89">
        <f t="shared" si="26"/>
        <v>-5</v>
      </c>
      <c r="AC56" s="145">
        <v>5</v>
      </c>
      <c r="AD56" s="334" t="s">
        <v>38</v>
      </c>
      <c r="AE56" s="94" t="s">
        <v>38</v>
      </c>
      <c r="AF56" s="94" t="s">
        <v>38</v>
      </c>
      <c r="AG56" s="94" t="s">
        <v>38</v>
      </c>
      <c r="AH56" s="94" t="s">
        <v>38</v>
      </c>
      <c r="AI56" s="94" t="s">
        <v>38</v>
      </c>
      <c r="AJ56" s="328">
        <v>0</v>
      </c>
      <c r="AK56" s="328">
        <v>0</v>
      </c>
      <c r="AL56" s="328">
        <v>0</v>
      </c>
      <c r="AM56" s="328">
        <v>0</v>
      </c>
      <c r="AN56" s="328">
        <v>0</v>
      </c>
      <c r="AO56" s="146"/>
      <c r="AP56" s="63"/>
    </row>
    <row r="57" spans="1:42" ht="21.75" customHeight="1" x14ac:dyDescent="0.2">
      <c r="A57" s="342"/>
      <c r="B57" s="263" t="s">
        <v>121</v>
      </c>
      <c r="C57" s="158" t="s">
        <v>38</v>
      </c>
      <c r="D57" s="158" t="s">
        <v>38</v>
      </c>
      <c r="E57" s="158">
        <v>1</v>
      </c>
      <c r="F57" s="158" t="s">
        <v>38</v>
      </c>
      <c r="G57" s="76" t="s">
        <v>38</v>
      </c>
      <c r="H57" s="76" t="s">
        <v>38</v>
      </c>
      <c r="I57" s="76" t="s">
        <v>38</v>
      </c>
      <c r="J57" s="76" t="s">
        <v>38</v>
      </c>
      <c r="K57" s="299">
        <f t="shared" si="28"/>
        <v>1</v>
      </c>
      <c r="L57" s="79">
        <v>0</v>
      </c>
      <c r="M57" s="124">
        <f t="shared" si="29"/>
        <v>1</v>
      </c>
      <c r="N57" s="98"/>
      <c r="O57" s="98"/>
      <c r="P57" s="82">
        <f t="shared" si="33"/>
        <v>0</v>
      </c>
      <c r="Q57" s="83">
        <f>P57/30</f>
        <v>0</v>
      </c>
      <c r="R57" s="84">
        <f t="shared" si="18"/>
        <v>0</v>
      </c>
      <c r="S57" s="83">
        <f>R57/20</f>
        <v>0</v>
      </c>
      <c r="T57" s="103"/>
      <c r="U57" s="85"/>
      <c r="V57" s="136">
        <f t="shared" si="32"/>
        <v>0</v>
      </c>
      <c r="W57" s="78">
        <f t="shared" si="11"/>
        <v>0</v>
      </c>
      <c r="X57" s="87">
        <f t="shared" si="19"/>
        <v>0</v>
      </c>
      <c r="Y57" s="88">
        <f t="shared" si="14"/>
        <v>0</v>
      </c>
      <c r="Z57" s="89">
        <f t="shared" si="30"/>
        <v>-1</v>
      </c>
      <c r="AA57" s="89">
        <f t="shared" si="31"/>
        <v>-1</v>
      </c>
      <c r="AB57" s="89">
        <f t="shared" si="26"/>
        <v>-1</v>
      </c>
      <c r="AC57" s="145">
        <v>5</v>
      </c>
      <c r="AD57" s="334">
        <f>P57/30</f>
        <v>0</v>
      </c>
      <c r="AE57" s="94" t="s">
        <v>38</v>
      </c>
      <c r="AF57" s="94" t="s">
        <v>38</v>
      </c>
      <c r="AG57" s="94" t="s">
        <v>38</v>
      </c>
      <c r="AH57" s="94" t="s">
        <v>38</v>
      </c>
      <c r="AI57" s="94" t="s">
        <v>38</v>
      </c>
      <c r="AJ57" s="328">
        <v>0</v>
      </c>
      <c r="AK57" s="328">
        <v>0</v>
      </c>
      <c r="AL57" s="328">
        <v>0</v>
      </c>
      <c r="AM57" s="328">
        <v>0</v>
      </c>
      <c r="AN57" s="328">
        <v>0</v>
      </c>
      <c r="AO57" s="146"/>
      <c r="AP57" s="63"/>
    </row>
    <row r="58" spans="1:42" ht="21.75" customHeight="1" x14ac:dyDescent="0.2">
      <c r="A58" s="342"/>
      <c r="B58" s="263" t="s">
        <v>116</v>
      </c>
      <c r="C58" s="158" t="s">
        <v>38</v>
      </c>
      <c r="D58" s="158">
        <v>1</v>
      </c>
      <c r="E58" s="158">
        <v>1</v>
      </c>
      <c r="F58" s="158" t="s">
        <v>38</v>
      </c>
      <c r="G58" s="76" t="s">
        <v>38</v>
      </c>
      <c r="H58" s="76">
        <v>1</v>
      </c>
      <c r="I58" s="76">
        <v>3</v>
      </c>
      <c r="J58" s="77">
        <v>1</v>
      </c>
      <c r="K58" s="299">
        <f t="shared" si="28"/>
        <v>7</v>
      </c>
      <c r="L58" s="79">
        <v>1</v>
      </c>
      <c r="M58" s="124">
        <f t="shared" si="29"/>
        <v>6</v>
      </c>
      <c r="N58" s="98"/>
      <c r="O58" s="98"/>
      <c r="P58" s="82">
        <f t="shared" si="33"/>
        <v>0</v>
      </c>
      <c r="Q58" s="83">
        <f>P58/30</f>
        <v>0</v>
      </c>
      <c r="R58" s="84">
        <f t="shared" si="18"/>
        <v>0</v>
      </c>
      <c r="S58" s="83">
        <f>R58/30</f>
        <v>0</v>
      </c>
      <c r="T58" s="103"/>
      <c r="U58" s="85"/>
      <c r="V58" s="136">
        <f t="shared" si="32"/>
        <v>0</v>
      </c>
      <c r="W58" s="78">
        <f t="shared" si="11"/>
        <v>0</v>
      </c>
      <c r="X58" s="87">
        <f t="shared" si="19"/>
        <v>0</v>
      </c>
      <c r="Y58" s="88">
        <f t="shared" si="14"/>
        <v>0</v>
      </c>
      <c r="Z58" s="89">
        <f t="shared" si="30"/>
        <v>-6</v>
      </c>
      <c r="AA58" s="89">
        <f t="shared" si="31"/>
        <v>-6</v>
      </c>
      <c r="AB58" s="89">
        <f t="shared" si="26"/>
        <v>-6</v>
      </c>
      <c r="AC58" s="145">
        <v>5</v>
      </c>
      <c r="AD58" s="334">
        <f>P58/30</f>
        <v>0</v>
      </c>
      <c r="AE58" s="94" t="s">
        <v>38</v>
      </c>
      <c r="AF58" s="94" t="s">
        <v>38</v>
      </c>
      <c r="AG58" s="94" t="s">
        <v>38</v>
      </c>
      <c r="AH58" s="94">
        <v>2</v>
      </c>
      <c r="AI58" s="94" t="s">
        <v>38</v>
      </c>
      <c r="AJ58" s="328">
        <v>0</v>
      </c>
      <c r="AK58" s="328">
        <v>0</v>
      </c>
      <c r="AL58" s="328">
        <v>0</v>
      </c>
      <c r="AM58" s="328">
        <v>0</v>
      </c>
      <c r="AN58" s="328">
        <v>0</v>
      </c>
      <c r="AO58" s="94"/>
      <c r="AP58" s="63"/>
    </row>
    <row r="59" spans="1:42" ht="21.75" customHeight="1" x14ac:dyDescent="0.2">
      <c r="A59" s="162" t="s">
        <v>77</v>
      </c>
      <c r="B59" s="263" t="s">
        <v>27</v>
      </c>
      <c r="C59" s="158" t="s">
        <v>38</v>
      </c>
      <c r="D59" s="158">
        <v>1</v>
      </c>
      <c r="E59" s="158" t="s">
        <v>38</v>
      </c>
      <c r="F59" s="158" t="s">
        <v>38</v>
      </c>
      <c r="G59" s="76" t="s">
        <v>38</v>
      </c>
      <c r="H59" s="76">
        <v>1</v>
      </c>
      <c r="I59" s="76" t="s">
        <v>38</v>
      </c>
      <c r="J59" s="77">
        <v>3</v>
      </c>
      <c r="K59" s="299">
        <f t="shared" si="28"/>
        <v>5</v>
      </c>
      <c r="L59" s="79">
        <v>0</v>
      </c>
      <c r="M59" s="124">
        <f t="shared" si="29"/>
        <v>5</v>
      </c>
      <c r="N59" s="98"/>
      <c r="O59" s="98"/>
      <c r="P59" s="82">
        <f t="shared" si="33"/>
        <v>0</v>
      </c>
      <c r="Q59" s="83">
        <f t="shared" ref="Q59:Q69" si="34">P59/20</f>
        <v>0</v>
      </c>
      <c r="R59" s="84">
        <f t="shared" si="18"/>
        <v>0</v>
      </c>
      <c r="S59" s="83">
        <f t="shared" ref="S59:S69" si="35">R59/20</f>
        <v>0</v>
      </c>
      <c r="T59" s="103"/>
      <c r="U59" s="85"/>
      <c r="V59" s="136">
        <f t="shared" si="32"/>
        <v>0</v>
      </c>
      <c r="W59" s="78">
        <f t="shared" si="11"/>
        <v>0</v>
      </c>
      <c r="X59" s="87">
        <f t="shared" si="19"/>
        <v>0</v>
      </c>
      <c r="Y59" s="88">
        <f t="shared" si="14"/>
        <v>0</v>
      </c>
      <c r="Z59" s="89">
        <f t="shared" si="30"/>
        <v>-5</v>
      </c>
      <c r="AA59" s="89">
        <f t="shared" si="31"/>
        <v>-5</v>
      </c>
      <c r="AB59" s="89">
        <f t="shared" si="26"/>
        <v>-5</v>
      </c>
      <c r="AC59" s="145">
        <v>5</v>
      </c>
      <c r="AD59" s="334" t="s">
        <v>38</v>
      </c>
      <c r="AE59" s="94" t="s">
        <v>38</v>
      </c>
      <c r="AF59" s="94" t="s">
        <v>38</v>
      </c>
      <c r="AG59" s="94" t="s">
        <v>38</v>
      </c>
      <c r="AH59" s="94" t="s">
        <v>38</v>
      </c>
      <c r="AI59" s="94" t="s">
        <v>38</v>
      </c>
      <c r="AJ59" s="328">
        <v>0</v>
      </c>
      <c r="AK59" s="328">
        <v>0</v>
      </c>
      <c r="AL59" s="328">
        <v>0</v>
      </c>
      <c r="AM59" s="328">
        <v>0</v>
      </c>
      <c r="AN59" s="328">
        <v>0</v>
      </c>
      <c r="AO59" s="146"/>
      <c r="AP59" s="63"/>
    </row>
    <row r="60" spans="1:42" ht="21.75" customHeight="1" x14ac:dyDescent="0.2">
      <c r="A60" s="308" t="s">
        <v>78</v>
      </c>
      <c r="B60" s="263" t="s">
        <v>182</v>
      </c>
      <c r="C60" s="158" t="s">
        <v>38</v>
      </c>
      <c r="D60" s="158" t="s">
        <v>38</v>
      </c>
      <c r="E60" s="158">
        <v>2</v>
      </c>
      <c r="F60" s="158" t="s">
        <v>38</v>
      </c>
      <c r="G60" s="76" t="s">
        <v>38</v>
      </c>
      <c r="H60" s="76" t="s">
        <v>38</v>
      </c>
      <c r="I60" s="76">
        <v>1</v>
      </c>
      <c r="J60" s="77" t="s">
        <v>38</v>
      </c>
      <c r="K60" s="299">
        <f t="shared" si="28"/>
        <v>3</v>
      </c>
      <c r="L60" s="79">
        <v>0</v>
      </c>
      <c r="M60" s="124">
        <f t="shared" si="29"/>
        <v>3</v>
      </c>
      <c r="N60" s="98"/>
      <c r="O60" s="98"/>
      <c r="P60" s="82">
        <f t="shared" si="33"/>
        <v>0</v>
      </c>
      <c r="Q60" s="83">
        <f t="shared" si="34"/>
        <v>0</v>
      </c>
      <c r="R60" s="84">
        <f t="shared" si="18"/>
        <v>0</v>
      </c>
      <c r="S60" s="83">
        <f t="shared" si="35"/>
        <v>0</v>
      </c>
      <c r="T60" s="96"/>
      <c r="U60" s="85"/>
      <c r="V60" s="136">
        <f t="shared" si="32"/>
        <v>0</v>
      </c>
      <c r="W60" s="78">
        <f t="shared" si="11"/>
        <v>0</v>
      </c>
      <c r="X60" s="87">
        <f t="shared" si="19"/>
        <v>0</v>
      </c>
      <c r="Y60" s="88">
        <f t="shared" si="14"/>
        <v>0</v>
      </c>
      <c r="Z60" s="100">
        <f t="shared" si="30"/>
        <v>-3</v>
      </c>
      <c r="AA60" s="100">
        <f t="shared" si="31"/>
        <v>-3</v>
      </c>
      <c r="AB60" s="100">
        <f t="shared" si="26"/>
        <v>-3</v>
      </c>
      <c r="AC60" s="145">
        <v>3</v>
      </c>
      <c r="AD60" s="334" t="s">
        <v>38</v>
      </c>
      <c r="AE60" s="94" t="s">
        <v>38</v>
      </c>
      <c r="AF60" s="94" t="s">
        <v>38</v>
      </c>
      <c r="AG60" s="94" t="s">
        <v>38</v>
      </c>
      <c r="AH60" s="94" t="s">
        <v>38</v>
      </c>
      <c r="AI60" s="94" t="s">
        <v>38</v>
      </c>
      <c r="AJ60" s="328">
        <v>0</v>
      </c>
      <c r="AK60" s="328">
        <v>0</v>
      </c>
      <c r="AL60" s="328">
        <v>0</v>
      </c>
      <c r="AM60" s="328">
        <v>0</v>
      </c>
      <c r="AN60" s="328">
        <v>0</v>
      </c>
      <c r="AO60" s="146"/>
      <c r="AP60" s="63"/>
    </row>
    <row r="61" spans="1:42" ht="21.75" customHeight="1" x14ac:dyDescent="0.2">
      <c r="A61" s="308"/>
      <c r="B61" s="263" t="s">
        <v>117</v>
      </c>
      <c r="C61" s="158" t="s">
        <v>38</v>
      </c>
      <c r="D61" s="158" t="s">
        <v>38</v>
      </c>
      <c r="E61" s="158" t="s">
        <v>38</v>
      </c>
      <c r="F61" s="158">
        <v>2</v>
      </c>
      <c r="G61" s="76" t="s">
        <v>38</v>
      </c>
      <c r="H61" s="76" t="s">
        <v>38</v>
      </c>
      <c r="I61" s="76">
        <v>1</v>
      </c>
      <c r="J61" s="77">
        <v>4</v>
      </c>
      <c r="K61" s="299">
        <f t="shared" ref="K61:K72" si="36">SUM(D61:J61)</f>
        <v>7</v>
      </c>
      <c r="L61" s="79">
        <v>1</v>
      </c>
      <c r="M61" s="124">
        <f t="shared" si="29"/>
        <v>6</v>
      </c>
      <c r="N61" s="98"/>
      <c r="O61" s="98"/>
      <c r="P61" s="82">
        <f t="shared" si="33"/>
        <v>0</v>
      </c>
      <c r="Q61" s="83">
        <f t="shared" si="34"/>
        <v>0</v>
      </c>
      <c r="R61" s="84">
        <f t="shared" si="18"/>
        <v>0</v>
      </c>
      <c r="S61" s="83">
        <f t="shared" si="35"/>
        <v>0</v>
      </c>
      <c r="T61" s="103"/>
      <c r="U61" s="85"/>
      <c r="V61" s="136">
        <f t="shared" si="32"/>
        <v>0</v>
      </c>
      <c r="W61" s="78">
        <f t="shared" si="11"/>
        <v>0</v>
      </c>
      <c r="X61" s="87">
        <f t="shared" si="19"/>
        <v>0</v>
      </c>
      <c r="Y61" s="88">
        <f t="shared" si="14"/>
        <v>0</v>
      </c>
      <c r="Z61" s="89">
        <f t="shared" si="30"/>
        <v>-6</v>
      </c>
      <c r="AA61" s="89">
        <f t="shared" si="31"/>
        <v>-6</v>
      </c>
      <c r="AB61" s="89">
        <f t="shared" si="26"/>
        <v>-6</v>
      </c>
      <c r="AC61" s="145">
        <v>5</v>
      </c>
      <c r="AD61" s="334" t="s">
        <v>38</v>
      </c>
      <c r="AE61" s="94" t="s">
        <v>38</v>
      </c>
      <c r="AF61" s="94" t="s">
        <v>38</v>
      </c>
      <c r="AG61" s="94" t="s">
        <v>38</v>
      </c>
      <c r="AH61" s="94" t="s">
        <v>38</v>
      </c>
      <c r="AI61" s="94" t="s">
        <v>38</v>
      </c>
      <c r="AJ61" s="328">
        <v>0</v>
      </c>
      <c r="AK61" s="328">
        <v>0</v>
      </c>
      <c r="AL61" s="328">
        <v>0</v>
      </c>
      <c r="AM61" s="328">
        <v>0</v>
      </c>
      <c r="AN61" s="328">
        <v>0</v>
      </c>
      <c r="AO61" s="94"/>
      <c r="AP61" s="63"/>
    </row>
    <row r="62" spans="1:42" ht="21.75" customHeight="1" x14ac:dyDescent="0.2">
      <c r="A62" s="308"/>
      <c r="B62" s="263" t="s">
        <v>42</v>
      </c>
      <c r="C62" s="158" t="s">
        <v>38</v>
      </c>
      <c r="D62" s="158" t="s">
        <v>38</v>
      </c>
      <c r="E62" s="158" t="s">
        <v>38</v>
      </c>
      <c r="F62" s="158" t="s">
        <v>38</v>
      </c>
      <c r="G62" s="76" t="s">
        <v>38</v>
      </c>
      <c r="H62" s="76" t="s">
        <v>38</v>
      </c>
      <c r="I62" s="76">
        <v>3</v>
      </c>
      <c r="J62" s="77">
        <v>3</v>
      </c>
      <c r="K62" s="299">
        <f t="shared" si="36"/>
        <v>6</v>
      </c>
      <c r="L62" s="79">
        <v>0</v>
      </c>
      <c r="M62" s="124">
        <f t="shared" si="29"/>
        <v>6</v>
      </c>
      <c r="N62" s="98"/>
      <c r="O62" s="98"/>
      <c r="P62" s="82">
        <f t="shared" si="33"/>
        <v>0</v>
      </c>
      <c r="Q62" s="83">
        <f t="shared" si="34"/>
        <v>0</v>
      </c>
      <c r="R62" s="84">
        <f t="shared" si="18"/>
        <v>0</v>
      </c>
      <c r="S62" s="83">
        <f t="shared" si="35"/>
        <v>0</v>
      </c>
      <c r="T62" s="103"/>
      <c r="U62" s="85"/>
      <c r="V62" s="136">
        <f t="shared" si="32"/>
        <v>0</v>
      </c>
      <c r="W62" s="78">
        <f t="shared" si="11"/>
        <v>0</v>
      </c>
      <c r="X62" s="87">
        <f t="shared" si="19"/>
        <v>0</v>
      </c>
      <c r="Y62" s="88">
        <f t="shared" si="14"/>
        <v>0</v>
      </c>
      <c r="Z62" s="89">
        <f t="shared" si="30"/>
        <v>-6</v>
      </c>
      <c r="AA62" s="89">
        <f t="shared" si="31"/>
        <v>-6</v>
      </c>
      <c r="AB62" s="89">
        <f t="shared" si="26"/>
        <v>-6</v>
      </c>
      <c r="AC62" s="145">
        <v>5</v>
      </c>
      <c r="AD62" s="334" t="s">
        <v>38</v>
      </c>
      <c r="AE62" s="94" t="s">
        <v>38</v>
      </c>
      <c r="AF62" s="94" t="s">
        <v>38</v>
      </c>
      <c r="AG62" s="94" t="s">
        <v>38</v>
      </c>
      <c r="AH62" s="94" t="s">
        <v>38</v>
      </c>
      <c r="AI62" s="94" t="s">
        <v>38</v>
      </c>
      <c r="AJ62" s="328">
        <v>0</v>
      </c>
      <c r="AK62" s="328">
        <v>0</v>
      </c>
      <c r="AL62" s="328">
        <v>0</v>
      </c>
      <c r="AM62" s="328">
        <v>0</v>
      </c>
      <c r="AN62" s="328">
        <v>0</v>
      </c>
      <c r="AO62" s="146"/>
      <c r="AP62" s="63"/>
    </row>
    <row r="63" spans="1:42" ht="21.75" customHeight="1" x14ac:dyDescent="0.2">
      <c r="A63" s="308"/>
      <c r="B63" s="263" t="s">
        <v>43</v>
      </c>
      <c r="C63" s="158" t="s">
        <v>38</v>
      </c>
      <c r="D63" s="158" t="s">
        <v>38</v>
      </c>
      <c r="E63" s="158" t="s">
        <v>38</v>
      </c>
      <c r="F63" s="158">
        <v>2</v>
      </c>
      <c r="G63" s="76" t="s">
        <v>38</v>
      </c>
      <c r="H63" s="76" t="s">
        <v>38</v>
      </c>
      <c r="I63" s="76">
        <v>2</v>
      </c>
      <c r="J63" s="77">
        <v>1</v>
      </c>
      <c r="K63" s="299">
        <f>SUM(D63:J63)</f>
        <v>5</v>
      </c>
      <c r="L63" s="79">
        <v>0</v>
      </c>
      <c r="M63" s="124">
        <f>K63-L63</f>
        <v>5</v>
      </c>
      <c r="N63" s="98"/>
      <c r="O63" s="98"/>
      <c r="P63" s="82">
        <f>SUM(N63:O63)</f>
        <v>0</v>
      </c>
      <c r="Q63" s="83">
        <f>P63/20</f>
        <v>0</v>
      </c>
      <c r="R63" s="84">
        <f>(P63*0.05)+P63</f>
        <v>0</v>
      </c>
      <c r="S63" s="83">
        <f>R63/20</f>
        <v>0</v>
      </c>
      <c r="T63" s="103"/>
      <c r="U63" s="85"/>
      <c r="V63" s="136">
        <f t="shared" si="32"/>
        <v>0</v>
      </c>
      <c r="W63" s="78">
        <f>V63/2</f>
        <v>0</v>
      </c>
      <c r="X63" s="87">
        <f>V63/35</f>
        <v>0</v>
      </c>
      <c r="Y63" s="88">
        <f>W63/14</f>
        <v>0</v>
      </c>
      <c r="Z63" s="89">
        <f>Q63-M63</f>
        <v>-5</v>
      </c>
      <c r="AA63" s="89">
        <f>X63-M63</f>
        <v>-5</v>
      </c>
      <c r="AB63" s="89">
        <f>Y63-M63</f>
        <v>-5</v>
      </c>
      <c r="AC63" s="145">
        <v>5</v>
      </c>
      <c r="AD63" s="334" t="s">
        <v>38</v>
      </c>
      <c r="AE63" s="94" t="s">
        <v>38</v>
      </c>
      <c r="AF63" s="94" t="s">
        <v>38</v>
      </c>
      <c r="AG63" s="94" t="s">
        <v>38</v>
      </c>
      <c r="AH63" s="94" t="s">
        <v>38</v>
      </c>
      <c r="AI63" s="94" t="s">
        <v>38</v>
      </c>
      <c r="AJ63" s="328">
        <v>0</v>
      </c>
      <c r="AK63" s="328">
        <v>0</v>
      </c>
      <c r="AL63" s="328">
        <v>0</v>
      </c>
      <c r="AM63" s="328">
        <v>0</v>
      </c>
      <c r="AN63" s="328">
        <v>0</v>
      </c>
      <c r="AO63" s="146"/>
      <c r="AP63" s="63"/>
    </row>
    <row r="64" spans="1:42" ht="21.75" customHeight="1" x14ac:dyDescent="0.2">
      <c r="A64" s="324" t="s">
        <v>267</v>
      </c>
      <c r="B64" s="266" t="s">
        <v>275</v>
      </c>
      <c r="C64" s="158" t="s">
        <v>38</v>
      </c>
      <c r="D64" s="158" t="s">
        <v>38</v>
      </c>
      <c r="E64" s="158" t="s">
        <v>38</v>
      </c>
      <c r="F64" s="158">
        <v>2</v>
      </c>
      <c r="G64" s="76" t="s">
        <v>38</v>
      </c>
      <c r="H64" s="76" t="s">
        <v>38</v>
      </c>
      <c r="I64" s="76">
        <v>1</v>
      </c>
      <c r="J64" s="77">
        <v>2</v>
      </c>
      <c r="K64" s="299">
        <f>SUM(D64:J64)</f>
        <v>5</v>
      </c>
      <c r="L64" s="164" t="s">
        <v>38</v>
      </c>
      <c r="M64" s="80">
        <v>5</v>
      </c>
      <c r="N64" s="166"/>
      <c r="O64" s="166"/>
      <c r="P64" s="167" t="s">
        <v>38</v>
      </c>
      <c r="Q64" s="168" t="s">
        <v>38</v>
      </c>
      <c r="R64" s="169" t="s">
        <v>38</v>
      </c>
      <c r="S64" s="168" t="s">
        <v>38</v>
      </c>
      <c r="T64" s="170"/>
      <c r="U64" s="96"/>
      <c r="V64" s="136">
        <f t="shared" si="32"/>
        <v>0</v>
      </c>
      <c r="W64" s="96" t="s">
        <v>38</v>
      </c>
      <c r="X64" s="172" t="s">
        <v>38</v>
      </c>
      <c r="Y64" s="173" t="s">
        <v>38</v>
      </c>
      <c r="Z64" s="174" t="s">
        <v>38</v>
      </c>
      <c r="AA64" s="174" t="s">
        <v>38</v>
      </c>
      <c r="AB64" s="174" t="s">
        <v>38</v>
      </c>
      <c r="AC64" s="145">
        <v>5</v>
      </c>
      <c r="AD64" s="334" t="s">
        <v>38</v>
      </c>
      <c r="AE64" s="94" t="s">
        <v>38</v>
      </c>
      <c r="AF64" s="94" t="s">
        <v>38</v>
      </c>
      <c r="AG64" s="94" t="s">
        <v>38</v>
      </c>
      <c r="AH64" s="94" t="s">
        <v>38</v>
      </c>
      <c r="AI64" s="94" t="s">
        <v>38</v>
      </c>
      <c r="AJ64" s="328">
        <v>0</v>
      </c>
      <c r="AK64" s="328">
        <v>0</v>
      </c>
      <c r="AL64" s="328">
        <v>0</v>
      </c>
      <c r="AM64" s="328">
        <v>0</v>
      </c>
      <c r="AN64" s="328">
        <v>0</v>
      </c>
      <c r="AO64" s="146"/>
      <c r="AP64" s="63"/>
    </row>
    <row r="65" spans="1:42" ht="21.75" customHeight="1" x14ac:dyDescent="0.2">
      <c r="A65" s="343" t="s">
        <v>269</v>
      </c>
      <c r="B65" s="263" t="s">
        <v>118</v>
      </c>
      <c r="C65" s="158" t="s">
        <v>38</v>
      </c>
      <c r="D65" s="158" t="s">
        <v>38</v>
      </c>
      <c r="E65" s="158" t="s">
        <v>38</v>
      </c>
      <c r="F65" s="158" t="s">
        <v>38</v>
      </c>
      <c r="G65" s="76" t="s">
        <v>38</v>
      </c>
      <c r="H65" s="76" t="s">
        <v>38</v>
      </c>
      <c r="I65" s="76">
        <v>3</v>
      </c>
      <c r="J65" s="77" t="s">
        <v>38</v>
      </c>
      <c r="K65" s="299">
        <f t="shared" si="36"/>
        <v>3</v>
      </c>
      <c r="L65" s="79">
        <v>0</v>
      </c>
      <c r="M65" s="80">
        <f t="shared" si="29"/>
        <v>3</v>
      </c>
      <c r="N65" s="98"/>
      <c r="O65" s="98"/>
      <c r="P65" s="82">
        <f t="shared" si="33"/>
        <v>0</v>
      </c>
      <c r="Q65" s="83">
        <f t="shared" si="34"/>
        <v>0</v>
      </c>
      <c r="R65" s="84">
        <f t="shared" si="18"/>
        <v>0</v>
      </c>
      <c r="S65" s="83">
        <f t="shared" si="35"/>
        <v>0</v>
      </c>
      <c r="T65" s="85"/>
      <c r="U65" s="86"/>
      <c r="V65" s="136">
        <f t="shared" si="32"/>
        <v>0</v>
      </c>
      <c r="W65" s="78">
        <f t="shared" si="11"/>
        <v>0</v>
      </c>
      <c r="X65" s="87">
        <f t="shared" si="19"/>
        <v>0</v>
      </c>
      <c r="Y65" s="88">
        <f t="shared" si="14"/>
        <v>0</v>
      </c>
      <c r="Z65" s="89">
        <f t="shared" si="30"/>
        <v>-3</v>
      </c>
      <c r="AA65" s="89">
        <f t="shared" si="31"/>
        <v>-3</v>
      </c>
      <c r="AB65" s="89">
        <f t="shared" si="26"/>
        <v>-3</v>
      </c>
      <c r="AC65" s="145">
        <v>3</v>
      </c>
      <c r="AD65" s="334" t="s">
        <v>38</v>
      </c>
      <c r="AE65" s="94" t="s">
        <v>38</v>
      </c>
      <c r="AF65" s="94" t="s">
        <v>38</v>
      </c>
      <c r="AG65" s="94" t="s">
        <v>38</v>
      </c>
      <c r="AH65" s="94" t="s">
        <v>38</v>
      </c>
      <c r="AI65" s="94" t="s">
        <v>38</v>
      </c>
      <c r="AJ65" s="328">
        <v>0</v>
      </c>
      <c r="AK65" s="328">
        <v>0</v>
      </c>
      <c r="AL65" s="328">
        <v>0</v>
      </c>
      <c r="AM65" s="328">
        <v>0</v>
      </c>
      <c r="AN65" s="328">
        <v>0</v>
      </c>
      <c r="AO65" s="146"/>
      <c r="AP65" s="63"/>
    </row>
    <row r="66" spans="1:42" ht="21.75" customHeight="1" x14ac:dyDescent="0.2">
      <c r="A66" s="343"/>
      <c r="B66" s="262" t="s">
        <v>119</v>
      </c>
      <c r="C66" s="158" t="s">
        <v>38</v>
      </c>
      <c r="D66" s="158" t="s">
        <v>38</v>
      </c>
      <c r="E66" s="158" t="s">
        <v>38</v>
      </c>
      <c r="F66" s="158" t="s">
        <v>38</v>
      </c>
      <c r="G66" s="76" t="s">
        <v>38</v>
      </c>
      <c r="H66" s="76" t="s">
        <v>38</v>
      </c>
      <c r="I66" s="76" t="s">
        <v>38</v>
      </c>
      <c r="J66" s="77" t="s">
        <v>38</v>
      </c>
      <c r="K66" s="299">
        <f t="shared" si="36"/>
        <v>0</v>
      </c>
      <c r="L66" s="79">
        <v>0</v>
      </c>
      <c r="M66" s="80">
        <f t="shared" si="29"/>
        <v>0</v>
      </c>
      <c r="N66" s="98"/>
      <c r="O66" s="98"/>
      <c r="P66" s="82">
        <f t="shared" si="33"/>
        <v>0</v>
      </c>
      <c r="Q66" s="83">
        <f t="shared" si="34"/>
        <v>0</v>
      </c>
      <c r="R66" s="84">
        <f t="shared" si="18"/>
        <v>0</v>
      </c>
      <c r="S66" s="83">
        <f t="shared" si="35"/>
        <v>0</v>
      </c>
      <c r="T66" s="85"/>
      <c r="U66" s="86"/>
      <c r="V66" s="136">
        <f t="shared" si="32"/>
        <v>0</v>
      </c>
      <c r="W66" s="78">
        <f t="shared" si="11"/>
        <v>0</v>
      </c>
      <c r="X66" s="87">
        <f t="shared" si="19"/>
        <v>0</v>
      </c>
      <c r="Y66" s="88">
        <f t="shared" si="14"/>
        <v>0</v>
      </c>
      <c r="Z66" s="100">
        <f t="shared" si="30"/>
        <v>0</v>
      </c>
      <c r="AA66" s="100">
        <f t="shared" si="31"/>
        <v>0</v>
      </c>
      <c r="AB66" s="100">
        <f t="shared" si="26"/>
        <v>0</v>
      </c>
      <c r="AC66" s="145">
        <v>3</v>
      </c>
      <c r="AD66" s="334" t="s">
        <v>38</v>
      </c>
      <c r="AE66" s="94" t="s">
        <v>38</v>
      </c>
      <c r="AF66" s="94" t="s">
        <v>38</v>
      </c>
      <c r="AG66" s="94" t="s">
        <v>38</v>
      </c>
      <c r="AH66" s="94" t="s">
        <v>38</v>
      </c>
      <c r="AI66" s="94" t="s">
        <v>38</v>
      </c>
      <c r="AJ66" s="328">
        <v>0</v>
      </c>
      <c r="AK66" s="328">
        <v>0</v>
      </c>
      <c r="AL66" s="328">
        <v>0</v>
      </c>
      <c r="AM66" s="328">
        <v>0</v>
      </c>
      <c r="AN66" s="328">
        <v>0</v>
      </c>
      <c r="AO66" s="146"/>
      <c r="AP66" s="63"/>
    </row>
    <row r="67" spans="1:42" ht="21.75" customHeight="1" x14ac:dyDescent="0.2">
      <c r="A67" s="343"/>
      <c r="B67" s="263" t="s">
        <v>120</v>
      </c>
      <c r="C67" s="158" t="s">
        <v>38</v>
      </c>
      <c r="D67" s="158">
        <v>1</v>
      </c>
      <c r="E67" s="158">
        <v>2</v>
      </c>
      <c r="F67" s="158">
        <v>1</v>
      </c>
      <c r="G67" s="76" t="s">
        <v>38</v>
      </c>
      <c r="H67" s="76" t="s">
        <v>38</v>
      </c>
      <c r="I67" s="76">
        <v>1</v>
      </c>
      <c r="J67" s="77">
        <v>1</v>
      </c>
      <c r="K67" s="299">
        <f t="shared" si="36"/>
        <v>6</v>
      </c>
      <c r="L67" s="79">
        <v>0</v>
      </c>
      <c r="M67" s="80">
        <f t="shared" si="29"/>
        <v>6</v>
      </c>
      <c r="N67" s="98"/>
      <c r="O67" s="98"/>
      <c r="P67" s="82">
        <f t="shared" si="33"/>
        <v>0</v>
      </c>
      <c r="Q67" s="83">
        <f t="shared" si="34"/>
        <v>0</v>
      </c>
      <c r="R67" s="84">
        <f t="shared" si="18"/>
        <v>0</v>
      </c>
      <c r="S67" s="83">
        <f t="shared" si="35"/>
        <v>0</v>
      </c>
      <c r="T67" s="103"/>
      <c r="U67" s="85"/>
      <c r="V67" s="136">
        <f t="shared" si="32"/>
        <v>0</v>
      </c>
      <c r="W67" s="78">
        <f t="shared" si="11"/>
        <v>0</v>
      </c>
      <c r="X67" s="87">
        <f t="shared" si="19"/>
        <v>0</v>
      </c>
      <c r="Y67" s="88">
        <f t="shared" si="14"/>
        <v>0</v>
      </c>
      <c r="Z67" s="89">
        <f t="shared" si="30"/>
        <v>-6</v>
      </c>
      <c r="AA67" s="89">
        <f t="shared" si="31"/>
        <v>-6</v>
      </c>
      <c r="AB67" s="89">
        <f t="shared" si="26"/>
        <v>-6</v>
      </c>
      <c r="AC67" s="145">
        <v>5</v>
      </c>
      <c r="AD67" s="334" t="s">
        <v>38</v>
      </c>
      <c r="AE67" s="94">
        <v>1</v>
      </c>
      <c r="AF67" s="94">
        <v>1</v>
      </c>
      <c r="AG67" s="94" t="s">
        <v>38</v>
      </c>
      <c r="AH67" s="94" t="s">
        <v>38</v>
      </c>
      <c r="AI67" s="94" t="s">
        <v>38</v>
      </c>
      <c r="AJ67" s="328">
        <v>0</v>
      </c>
      <c r="AK67" s="328">
        <v>0</v>
      </c>
      <c r="AL67" s="328">
        <v>0</v>
      </c>
      <c r="AM67" s="328">
        <v>0</v>
      </c>
      <c r="AN67" s="328">
        <v>0</v>
      </c>
      <c r="AO67" s="146"/>
      <c r="AP67" s="63"/>
    </row>
    <row r="68" spans="1:42" ht="21.75" customHeight="1" x14ac:dyDescent="0.2">
      <c r="A68" s="324" t="s">
        <v>270</v>
      </c>
      <c r="B68" s="263" t="s">
        <v>27</v>
      </c>
      <c r="C68" s="158" t="s">
        <v>38</v>
      </c>
      <c r="D68" s="158">
        <v>1</v>
      </c>
      <c r="E68" s="158">
        <v>2</v>
      </c>
      <c r="F68" s="158">
        <v>1</v>
      </c>
      <c r="G68" s="301" t="s">
        <v>38</v>
      </c>
      <c r="H68" s="301" t="s">
        <v>38</v>
      </c>
      <c r="I68" s="301">
        <v>1</v>
      </c>
      <c r="J68" s="302">
        <v>3</v>
      </c>
      <c r="K68" s="299">
        <f t="shared" si="36"/>
        <v>8</v>
      </c>
      <c r="L68" s="79">
        <v>0</v>
      </c>
      <c r="M68" s="303">
        <f t="shared" si="29"/>
        <v>8</v>
      </c>
      <c r="N68" s="98"/>
      <c r="O68" s="98"/>
      <c r="P68" s="82">
        <f t="shared" si="33"/>
        <v>0</v>
      </c>
      <c r="Q68" s="83">
        <f t="shared" si="34"/>
        <v>0</v>
      </c>
      <c r="R68" s="84">
        <f t="shared" si="18"/>
        <v>0</v>
      </c>
      <c r="S68" s="83">
        <f t="shared" si="35"/>
        <v>0</v>
      </c>
      <c r="T68" s="103"/>
      <c r="U68" s="85"/>
      <c r="V68" s="136">
        <f t="shared" si="32"/>
        <v>0</v>
      </c>
      <c r="W68" s="78">
        <f t="shared" si="11"/>
        <v>0</v>
      </c>
      <c r="X68" s="87">
        <f t="shared" si="19"/>
        <v>0</v>
      </c>
      <c r="Y68" s="88">
        <f t="shared" si="14"/>
        <v>0</v>
      </c>
      <c r="Z68" s="89">
        <f t="shared" si="30"/>
        <v>-8</v>
      </c>
      <c r="AA68" s="89">
        <f t="shared" si="31"/>
        <v>-8</v>
      </c>
      <c r="AB68" s="89">
        <f t="shared" si="26"/>
        <v>-8</v>
      </c>
      <c r="AC68" s="145">
        <v>5</v>
      </c>
      <c r="AD68" s="334" t="s">
        <v>38</v>
      </c>
      <c r="AE68" s="94" t="s">
        <v>38</v>
      </c>
      <c r="AF68" s="94" t="s">
        <v>38</v>
      </c>
      <c r="AG68" s="94" t="s">
        <v>38</v>
      </c>
      <c r="AH68" s="94" t="s">
        <v>38</v>
      </c>
      <c r="AI68" s="94" t="s">
        <v>38</v>
      </c>
      <c r="AJ68" s="328">
        <v>0</v>
      </c>
      <c r="AK68" s="328">
        <v>0</v>
      </c>
      <c r="AL68" s="328">
        <v>0</v>
      </c>
      <c r="AM68" s="328">
        <v>0</v>
      </c>
      <c r="AN68" s="328">
        <v>0</v>
      </c>
      <c r="AO68" s="146"/>
      <c r="AP68" s="63"/>
    </row>
    <row r="69" spans="1:42" ht="21.75" customHeight="1" x14ac:dyDescent="0.2">
      <c r="A69" s="324" t="s">
        <v>271</v>
      </c>
      <c r="B69" s="263" t="s">
        <v>27</v>
      </c>
      <c r="C69" s="158" t="s">
        <v>38</v>
      </c>
      <c r="D69" s="158" t="s">
        <v>38</v>
      </c>
      <c r="E69" s="158" t="s">
        <v>38</v>
      </c>
      <c r="F69" s="158" t="s">
        <v>38</v>
      </c>
      <c r="G69" s="76" t="s">
        <v>38</v>
      </c>
      <c r="H69" s="76" t="s">
        <v>38</v>
      </c>
      <c r="I69" s="76">
        <v>3</v>
      </c>
      <c r="J69" s="77">
        <v>5</v>
      </c>
      <c r="K69" s="299">
        <f t="shared" si="36"/>
        <v>8</v>
      </c>
      <c r="L69" s="79">
        <v>2</v>
      </c>
      <c r="M69" s="80">
        <f t="shared" si="29"/>
        <v>6</v>
      </c>
      <c r="N69" s="98"/>
      <c r="O69" s="98"/>
      <c r="P69" s="82">
        <f t="shared" si="33"/>
        <v>0</v>
      </c>
      <c r="Q69" s="83">
        <f t="shared" si="34"/>
        <v>0</v>
      </c>
      <c r="R69" s="84">
        <f t="shared" si="18"/>
        <v>0</v>
      </c>
      <c r="S69" s="83">
        <f t="shared" si="35"/>
        <v>0</v>
      </c>
      <c r="T69" s="103"/>
      <c r="U69" s="85"/>
      <c r="V69" s="136">
        <f t="shared" si="32"/>
        <v>0</v>
      </c>
      <c r="W69" s="78">
        <f t="shared" si="11"/>
        <v>0</v>
      </c>
      <c r="X69" s="87">
        <f t="shared" si="19"/>
        <v>0</v>
      </c>
      <c r="Y69" s="88">
        <f t="shared" si="14"/>
        <v>0</v>
      </c>
      <c r="Z69" s="89">
        <f t="shared" si="30"/>
        <v>-6</v>
      </c>
      <c r="AA69" s="89">
        <f t="shared" si="31"/>
        <v>-6</v>
      </c>
      <c r="AB69" s="89">
        <f t="shared" si="26"/>
        <v>-6</v>
      </c>
      <c r="AC69" s="145">
        <v>5</v>
      </c>
      <c r="AD69" s="334" t="s">
        <v>38</v>
      </c>
      <c r="AE69" s="94" t="s">
        <v>38</v>
      </c>
      <c r="AF69" s="94" t="s">
        <v>38</v>
      </c>
      <c r="AG69" s="94" t="s">
        <v>38</v>
      </c>
      <c r="AH69" s="94" t="s">
        <v>38</v>
      </c>
      <c r="AI69" s="94" t="s">
        <v>38</v>
      </c>
      <c r="AJ69" s="328">
        <v>0</v>
      </c>
      <c r="AK69" s="328">
        <v>0</v>
      </c>
      <c r="AL69" s="328">
        <v>0</v>
      </c>
      <c r="AM69" s="328">
        <v>0</v>
      </c>
      <c r="AN69" s="328">
        <v>0</v>
      </c>
      <c r="AO69" s="146"/>
      <c r="AP69" s="63"/>
    </row>
    <row r="70" spans="1:42" ht="21.75" customHeight="1" x14ac:dyDescent="0.2">
      <c r="A70" s="324" t="s">
        <v>272</v>
      </c>
      <c r="B70" s="263" t="s">
        <v>21</v>
      </c>
      <c r="C70" s="158" t="s">
        <v>38</v>
      </c>
      <c r="D70" s="158" t="s">
        <v>38</v>
      </c>
      <c r="E70" s="158">
        <v>2</v>
      </c>
      <c r="F70" s="158">
        <v>1</v>
      </c>
      <c r="G70" s="301" t="s">
        <v>38</v>
      </c>
      <c r="H70" s="301" t="s">
        <v>38</v>
      </c>
      <c r="I70" s="301" t="s">
        <v>38</v>
      </c>
      <c r="J70" s="302">
        <v>5</v>
      </c>
      <c r="K70" s="304">
        <f>SUM(D70:J70)</f>
        <v>8</v>
      </c>
      <c r="L70" s="305">
        <v>0</v>
      </c>
      <c r="M70" s="306">
        <f t="shared" si="29"/>
        <v>8</v>
      </c>
      <c r="N70" s="98"/>
      <c r="O70" s="98"/>
      <c r="P70" s="82">
        <f t="shared" si="33"/>
        <v>0</v>
      </c>
      <c r="Q70" s="83">
        <f>P70/30</f>
        <v>0</v>
      </c>
      <c r="R70" s="84">
        <f t="shared" si="18"/>
        <v>0</v>
      </c>
      <c r="S70" s="83">
        <f>R70/30</f>
        <v>0</v>
      </c>
      <c r="T70" s="103"/>
      <c r="U70" s="85"/>
      <c r="V70" s="136">
        <f t="shared" si="32"/>
        <v>0</v>
      </c>
      <c r="W70" s="78">
        <f t="shared" si="11"/>
        <v>0</v>
      </c>
      <c r="X70" s="87">
        <f t="shared" si="19"/>
        <v>0</v>
      </c>
      <c r="Y70" s="88">
        <f t="shared" si="14"/>
        <v>0</v>
      </c>
      <c r="Z70" s="89">
        <f t="shared" si="30"/>
        <v>-8</v>
      </c>
      <c r="AA70" s="89">
        <f t="shared" si="31"/>
        <v>-8</v>
      </c>
      <c r="AB70" s="89">
        <f t="shared" si="26"/>
        <v>-8</v>
      </c>
      <c r="AC70" s="145">
        <v>5</v>
      </c>
      <c r="AD70" s="334" t="s">
        <v>38</v>
      </c>
      <c r="AE70" s="94" t="s">
        <v>38</v>
      </c>
      <c r="AF70" s="94" t="s">
        <v>38</v>
      </c>
      <c r="AG70" s="94" t="s">
        <v>38</v>
      </c>
      <c r="AH70" s="146">
        <v>1</v>
      </c>
      <c r="AI70" s="94" t="s">
        <v>38</v>
      </c>
      <c r="AJ70" s="328">
        <v>0</v>
      </c>
      <c r="AK70" s="328">
        <v>0</v>
      </c>
      <c r="AL70" s="328">
        <v>0</v>
      </c>
      <c r="AM70" s="328">
        <v>0</v>
      </c>
      <c r="AN70" s="328">
        <v>0</v>
      </c>
      <c r="AO70" s="146"/>
      <c r="AP70" s="63"/>
    </row>
    <row r="71" spans="1:42" ht="21.75" customHeight="1" x14ac:dyDescent="0.2">
      <c r="A71" s="324" t="s">
        <v>273</v>
      </c>
      <c r="B71" s="263" t="s">
        <v>27</v>
      </c>
      <c r="C71" s="158" t="s">
        <v>38</v>
      </c>
      <c r="D71" s="158" t="s">
        <v>38</v>
      </c>
      <c r="E71" s="158" t="s">
        <v>38</v>
      </c>
      <c r="F71" s="158" t="s">
        <v>38</v>
      </c>
      <c r="G71" s="301" t="s">
        <v>38</v>
      </c>
      <c r="H71" s="301" t="s">
        <v>38</v>
      </c>
      <c r="I71" s="301">
        <v>3</v>
      </c>
      <c r="J71" s="302">
        <v>4</v>
      </c>
      <c r="K71" s="299">
        <f>SUM(D71:J71)</f>
        <v>7</v>
      </c>
      <c r="L71" s="307">
        <v>0</v>
      </c>
      <c r="M71" s="303">
        <f t="shared" si="29"/>
        <v>7</v>
      </c>
      <c r="N71" s="98"/>
      <c r="O71" s="98"/>
      <c r="P71" s="82">
        <f t="shared" si="33"/>
        <v>0</v>
      </c>
      <c r="Q71" s="83">
        <f>P71/20</f>
        <v>0</v>
      </c>
      <c r="R71" s="84">
        <f t="shared" si="18"/>
        <v>0</v>
      </c>
      <c r="S71" s="83">
        <f>R71/20</f>
        <v>0</v>
      </c>
      <c r="T71" s="103"/>
      <c r="U71" s="85"/>
      <c r="V71" s="136">
        <f t="shared" si="32"/>
        <v>0</v>
      </c>
      <c r="W71" s="78">
        <f t="shared" si="11"/>
        <v>0</v>
      </c>
      <c r="X71" s="87">
        <f t="shared" si="19"/>
        <v>0</v>
      </c>
      <c r="Y71" s="88">
        <f t="shared" si="14"/>
        <v>0</v>
      </c>
      <c r="Z71" s="89">
        <f t="shared" si="30"/>
        <v>-7</v>
      </c>
      <c r="AA71" s="89">
        <f t="shared" si="31"/>
        <v>-7</v>
      </c>
      <c r="AB71" s="89">
        <f t="shared" si="26"/>
        <v>-7</v>
      </c>
      <c r="AC71" s="145">
        <v>5</v>
      </c>
      <c r="AD71" s="334" t="s">
        <v>38</v>
      </c>
      <c r="AE71" s="94" t="s">
        <v>38</v>
      </c>
      <c r="AF71" s="94" t="s">
        <v>38</v>
      </c>
      <c r="AG71" s="94" t="s">
        <v>38</v>
      </c>
      <c r="AH71" s="94" t="s">
        <v>38</v>
      </c>
      <c r="AI71" s="94" t="s">
        <v>38</v>
      </c>
      <c r="AJ71" s="328">
        <v>0</v>
      </c>
      <c r="AK71" s="328">
        <v>0</v>
      </c>
      <c r="AL71" s="328">
        <v>0</v>
      </c>
      <c r="AM71" s="328">
        <v>0</v>
      </c>
      <c r="AN71" s="328">
        <v>0</v>
      </c>
      <c r="AO71" s="146"/>
      <c r="AP71" s="63"/>
    </row>
    <row r="72" spans="1:42" ht="21.75" customHeight="1" x14ac:dyDescent="0.2">
      <c r="A72" s="324" t="s">
        <v>274</v>
      </c>
      <c r="B72" s="263" t="s">
        <v>27</v>
      </c>
      <c r="C72" s="158" t="s">
        <v>38</v>
      </c>
      <c r="D72" s="158" t="s">
        <v>38</v>
      </c>
      <c r="E72" s="158">
        <v>1</v>
      </c>
      <c r="F72" s="158" t="s">
        <v>38</v>
      </c>
      <c r="G72" s="76" t="s">
        <v>38</v>
      </c>
      <c r="H72" s="76" t="s">
        <v>38</v>
      </c>
      <c r="I72" s="76">
        <v>2</v>
      </c>
      <c r="J72" s="77">
        <v>2</v>
      </c>
      <c r="K72" s="299">
        <f t="shared" si="36"/>
        <v>5</v>
      </c>
      <c r="L72" s="79">
        <v>0</v>
      </c>
      <c r="M72" s="124">
        <f t="shared" si="29"/>
        <v>5</v>
      </c>
      <c r="N72" s="81"/>
      <c r="O72" s="81"/>
      <c r="P72" s="82">
        <f t="shared" si="33"/>
        <v>0</v>
      </c>
      <c r="Q72" s="83">
        <f>P72/20</f>
        <v>0</v>
      </c>
      <c r="R72" s="84">
        <f t="shared" si="18"/>
        <v>0</v>
      </c>
      <c r="S72" s="83">
        <f>R72/20</f>
        <v>0</v>
      </c>
      <c r="T72" s="125"/>
      <c r="U72" s="85"/>
      <c r="V72" s="136">
        <f t="shared" si="32"/>
        <v>0</v>
      </c>
      <c r="W72" s="78">
        <f t="shared" si="11"/>
        <v>0</v>
      </c>
      <c r="X72" s="87">
        <f t="shared" si="19"/>
        <v>0</v>
      </c>
      <c r="Y72" s="88">
        <f t="shared" si="14"/>
        <v>0</v>
      </c>
      <c r="Z72" s="89">
        <f t="shared" si="30"/>
        <v>-5</v>
      </c>
      <c r="AA72" s="89">
        <f t="shared" si="31"/>
        <v>-5</v>
      </c>
      <c r="AB72" s="89">
        <f t="shared" si="26"/>
        <v>-5</v>
      </c>
      <c r="AC72" s="145">
        <v>5</v>
      </c>
      <c r="AD72" s="334" t="s">
        <v>38</v>
      </c>
      <c r="AE72" s="94" t="s">
        <v>38</v>
      </c>
      <c r="AF72" s="94" t="s">
        <v>38</v>
      </c>
      <c r="AG72" s="94" t="s">
        <v>38</v>
      </c>
      <c r="AH72" s="94" t="s">
        <v>38</v>
      </c>
      <c r="AI72" s="94" t="s">
        <v>38</v>
      </c>
      <c r="AJ72" s="328">
        <v>0</v>
      </c>
      <c r="AK72" s="328">
        <v>0</v>
      </c>
      <c r="AL72" s="328">
        <v>0</v>
      </c>
      <c r="AM72" s="328">
        <v>0</v>
      </c>
      <c r="AN72" s="328">
        <v>0</v>
      </c>
      <c r="AO72" s="146"/>
      <c r="AP72" s="63"/>
    </row>
    <row r="73" spans="1:42" s="18" customFormat="1" ht="21.75" customHeight="1" x14ac:dyDescent="0.55000000000000004">
      <c r="A73" s="176" t="s">
        <v>85</v>
      </c>
      <c r="B73" s="267"/>
      <c r="C73" s="149">
        <f t="shared" ref="C73:Q73" si="37">SUM(C74:C89)</f>
        <v>0</v>
      </c>
      <c r="D73" s="149">
        <f t="shared" si="37"/>
        <v>6</v>
      </c>
      <c r="E73" s="149">
        <f t="shared" si="37"/>
        <v>12</v>
      </c>
      <c r="F73" s="149">
        <f t="shared" si="37"/>
        <v>15</v>
      </c>
      <c r="G73" s="149">
        <f t="shared" si="37"/>
        <v>0</v>
      </c>
      <c r="H73" s="149">
        <f t="shared" si="37"/>
        <v>1</v>
      </c>
      <c r="I73" s="149">
        <f t="shared" si="37"/>
        <v>18</v>
      </c>
      <c r="J73" s="149">
        <f t="shared" si="37"/>
        <v>46</v>
      </c>
      <c r="K73" s="149">
        <f t="shared" si="37"/>
        <v>98</v>
      </c>
      <c r="L73" s="149">
        <f t="shared" si="37"/>
        <v>1</v>
      </c>
      <c r="M73" s="149">
        <f t="shared" si="37"/>
        <v>97</v>
      </c>
      <c r="N73" s="149">
        <f t="shared" si="37"/>
        <v>0</v>
      </c>
      <c r="O73" s="149">
        <f t="shared" si="37"/>
        <v>0</v>
      </c>
      <c r="P73" s="67">
        <f t="shared" si="37"/>
        <v>0</v>
      </c>
      <c r="Q73" s="66">
        <f t="shared" si="37"/>
        <v>0</v>
      </c>
      <c r="R73" s="152">
        <f t="shared" si="18"/>
        <v>0</v>
      </c>
      <c r="S73" s="66">
        <f>SUM(S74:S89)</f>
        <v>0</v>
      </c>
      <c r="T73" s="256">
        <f>SUM(T74:T89)</f>
        <v>0</v>
      </c>
      <c r="U73" s="256">
        <f>SUM(U74:U89)</f>
        <v>0</v>
      </c>
      <c r="V73" s="257">
        <f>SUM(T73:U73)</f>
        <v>0</v>
      </c>
      <c r="W73" s="256">
        <f t="shared" si="11"/>
        <v>0</v>
      </c>
      <c r="X73" s="65">
        <f>SUM(X74:X89)</f>
        <v>0</v>
      </c>
      <c r="Y73" s="155">
        <f t="shared" si="14"/>
        <v>0</v>
      </c>
      <c r="Z73" s="69">
        <f>SUM(Z74:Z89)</f>
        <v>-97</v>
      </c>
      <c r="AA73" s="69">
        <f>SUM(AA74:AA89)</f>
        <v>-97</v>
      </c>
      <c r="AB73" s="69">
        <f t="shared" si="26"/>
        <v>-97</v>
      </c>
      <c r="AC73" s="66">
        <f>SUM(AC74:AC89)</f>
        <v>74</v>
      </c>
      <c r="AD73" s="251">
        <v>0</v>
      </c>
      <c r="AE73" s="150">
        <f>SUM(AE74:AE89)</f>
        <v>4</v>
      </c>
      <c r="AF73" s="150">
        <f>SUM(AF74:AF89)</f>
        <v>0</v>
      </c>
      <c r="AG73" s="150">
        <f>SUM(AG74:AG89)</f>
        <v>2</v>
      </c>
      <c r="AH73" s="150">
        <f>SUM(AH74:AH89)</f>
        <v>0</v>
      </c>
      <c r="AI73" s="150">
        <f>SUM(AI74:AI89)</f>
        <v>2</v>
      </c>
      <c r="AJ73" s="251">
        <v>0</v>
      </c>
      <c r="AK73" s="251">
        <v>0</v>
      </c>
      <c r="AL73" s="251">
        <v>0</v>
      </c>
      <c r="AM73" s="251">
        <v>0</v>
      </c>
      <c r="AN73" s="251">
        <v>0</v>
      </c>
      <c r="AO73" s="156"/>
      <c r="AP73" s="72"/>
    </row>
    <row r="74" spans="1:42" ht="21.75" customHeight="1" x14ac:dyDescent="0.55000000000000004">
      <c r="A74" s="177" t="s">
        <v>86</v>
      </c>
      <c r="B74" s="268" t="s">
        <v>33</v>
      </c>
      <c r="C74" s="158" t="s">
        <v>38</v>
      </c>
      <c r="D74" s="75">
        <v>1</v>
      </c>
      <c r="E74" s="75">
        <v>2</v>
      </c>
      <c r="F74" s="75">
        <v>1</v>
      </c>
      <c r="G74" s="76" t="s">
        <v>38</v>
      </c>
      <c r="H74" s="76" t="s">
        <v>38</v>
      </c>
      <c r="I74" s="76">
        <v>3</v>
      </c>
      <c r="J74" s="77">
        <v>4</v>
      </c>
      <c r="K74" s="78">
        <f>SUM(C74:J74)</f>
        <v>11</v>
      </c>
      <c r="L74" s="79">
        <v>0</v>
      </c>
      <c r="M74" s="218">
        <f>K74-L74</f>
        <v>11</v>
      </c>
      <c r="N74" s="81"/>
      <c r="O74" s="81"/>
      <c r="P74" s="82">
        <f>SUM(N74:O74)</f>
        <v>0</v>
      </c>
      <c r="Q74" s="83">
        <f t="shared" ref="Q74:Q89" si="38">P74/25</f>
        <v>0</v>
      </c>
      <c r="R74" s="84">
        <f t="shared" si="18"/>
        <v>0</v>
      </c>
      <c r="S74" s="83">
        <f t="shared" ref="S74:S89" si="39">R74/25</f>
        <v>0</v>
      </c>
      <c r="T74" s="125"/>
      <c r="U74" s="85"/>
      <c r="V74" s="136">
        <f>SUM(T74:U74)</f>
        <v>0</v>
      </c>
      <c r="W74" s="78">
        <f t="shared" ref="W74:W107" si="40">V74/2</f>
        <v>0</v>
      </c>
      <c r="X74" s="87">
        <f t="shared" ref="X74:X107" si="41">V74/35</f>
        <v>0</v>
      </c>
      <c r="Y74" s="88">
        <f t="shared" ref="Y74:Y107" si="42">W74/14</f>
        <v>0</v>
      </c>
      <c r="Z74" s="89">
        <f t="shared" ref="Z74:Z99" si="43">Q74-M74</f>
        <v>-11</v>
      </c>
      <c r="AA74" s="89">
        <f t="shared" ref="AA74:AA99" si="44">X74-M74</f>
        <v>-11</v>
      </c>
      <c r="AB74" s="89">
        <f t="shared" si="26"/>
        <v>-11</v>
      </c>
      <c r="AC74" s="145">
        <v>5</v>
      </c>
      <c r="AD74" s="334" t="s">
        <v>38</v>
      </c>
      <c r="AE74" s="94" t="s">
        <v>38</v>
      </c>
      <c r="AF74" s="94" t="s">
        <v>38</v>
      </c>
      <c r="AG74" s="94" t="s">
        <v>38</v>
      </c>
      <c r="AH74" s="94" t="s">
        <v>38</v>
      </c>
      <c r="AI74" s="146">
        <v>1</v>
      </c>
      <c r="AJ74" s="328">
        <v>0</v>
      </c>
      <c r="AK74" s="328">
        <v>0</v>
      </c>
      <c r="AL74" s="328">
        <v>0</v>
      </c>
      <c r="AM74" s="328">
        <v>0</v>
      </c>
      <c r="AN74" s="328">
        <v>0</v>
      </c>
      <c r="AO74" s="146"/>
      <c r="AP74" s="63"/>
    </row>
    <row r="75" spans="1:42" ht="21.75" customHeight="1" x14ac:dyDescent="0.55000000000000004">
      <c r="A75" s="177" t="s">
        <v>87</v>
      </c>
      <c r="B75" s="268" t="s">
        <v>31</v>
      </c>
      <c r="C75" s="158" t="s">
        <v>38</v>
      </c>
      <c r="D75" s="75" t="s">
        <v>38</v>
      </c>
      <c r="E75" s="75">
        <v>2</v>
      </c>
      <c r="F75" s="75">
        <v>3</v>
      </c>
      <c r="G75" s="76" t="s">
        <v>38</v>
      </c>
      <c r="H75" s="76" t="s">
        <v>38</v>
      </c>
      <c r="I75" s="76">
        <v>1</v>
      </c>
      <c r="J75" s="77">
        <v>3</v>
      </c>
      <c r="K75" s="78">
        <f t="shared" ref="K75:K89" si="45">SUM(C75:J75)</f>
        <v>9</v>
      </c>
      <c r="L75" s="79">
        <v>0</v>
      </c>
      <c r="M75" s="218">
        <f t="shared" ref="M75:M89" si="46">K75-L75</f>
        <v>9</v>
      </c>
      <c r="N75" s="98"/>
      <c r="O75" s="81"/>
      <c r="P75" s="82">
        <f>SUM(N75:O75)</f>
        <v>0</v>
      </c>
      <c r="Q75" s="83">
        <f t="shared" si="38"/>
        <v>0</v>
      </c>
      <c r="R75" s="84">
        <f t="shared" si="18"/>
        <v>0</v>
      </c>
      <c r="S75" s="83">
        <f t="shared" si="39"/>
        <v>0</v>
      </c>
      <c r="T75" s="125"/>
      <c r="U75" s="85"/>
      <c r="V75" s="136">
        <f t="shared" ref="V75:V89" si="47">SUM(T75:U75)</f>
        <v>0</v>
      </c>
      <c r="W75" s="78">
        <f t="shared" si="40"/>
        <v>0</v>
      </c>
      <c r="X75" s="87">
        <f t="shared" si="41"/>
        <v>0</v>
      </c>
      <c r="Y75" s="88">
        <f t="shared" si="42"/>
        <v>0</v>
      </c>
      <c r="Z75" s="89">
        <f t="shared" si="43"/>
        <v>-9</v>
      </c>
      <c r="AA75" s="89">
        <f t="shared" si="44"/>
        <v>-9</v>
      </c>
      <c r="AB75" s="89">
        <f t="shared" si="26"/>
        <v>-9</v>
      </c>
      <c r="AC75" s="145">
        <v>5</v>
      </c>
      <c r="AD75" s="334" t="s">
        <v>38</v>
      </c>
      <c r="AE75" s="94" t="s">
        <v>38</v>
      </c>
      <c r="AF75" s="94" t="s">
        <v>38</v>
      </c>
      <c r="AG75" s="94" t="s">
        <v>38</v>
      </c>
      <c r="AH75" s="94" t="s">
        <v>38</v>
      </c>
      <c r="AI75" s="146">
        <v>1</v>
      </c>
      <c r="AJ75" s="328">
        <v>0</v>
      </c>
      <c r="AK75" s="328">
        <v>0</v>
      </c>
      <c r="AL75" s="328">
        <v>0</v>
      </c>
      <c r="AM75" s="328">
        <v>0</v>
      </c>
      <c r="AN75" s="328">
        <v>0</v>
      </c>
      <c r="AO75" s="146"/>
      <c r="AP75" s="63"/>
    </row>
    <row r="76" spans="1:42" ht="21.75" customHeight="1" x14ac:dyDescent="0.55000000000000004">
      <c r="A76" s="177" t="s">
        <v>226</v>
      </c>
      <c r="B76" s="268" t="s">
        <v>31</v>
      </c>
      <c r="C76" s="158" t="s">
        <v>38</v>
      </c>
      <c r="D76" s="75" t="s">
        <v>38</v>
      </c>
      <c r="E76" s="75">
        <v>1</v>
      </c>
      <c r="F76" s="75">
        <v>1</v>
      </c>
      <c r="G76" s="76" t="s">
        <v>38</v>
      </c>
      <c r="H76" s="76" t="s">
        <v>38</v>
      </c>
      <c r="I76" s="76" t="s">
        <v>38</v>
      </c>
      <c r="J76" s="77">
        <v>4</v>
      </c>
      <c r="K76" s="78">
        <f t="shared" si="45"/>
        <v>6</v>
      </c>
      <c r="L76" s="79">
        <v>0</v>
      </c>
      <c r="M76" s="218">
        <f t="shared" si="46"/>
        <v>6</v>
      </c>
      <c r="N76" s="98"/>
      <c r="O76" s="81"/>
      <c r="P76" s="82">
        <f>SUM(N76:O76)</f>
        <v>0</v>
      </c>
      <c r="Q76" s="83">
        <f t="shared" si="38"/>
        <v>0</v>
      </c>
      <c r="R76" s="84">
        <f t="shared" si="18"/>
        <v>0</v>
      </c>
      <c r="S76" s="83">
        <f t="shared" si="39"/>
        <v>0</v>
      </c>
      <c r="T76" s="125"/>
      <c r="U76" s="85"/>
      <c r="V76" s="136">
        <f t="shared" si="47"/>
        <v>0</v>
      </c>
      <c r="W76" s="78">
        <f t="shared" si="40"/>
        <v>0</v>
      </c>
      <c r="X76" s="87">
        <f t="shared" si="41"/>
        <v>0</v>
      </c>
      <c r="Y76" s="88">
        <f t="shared" si="42"/>
        <v>0</v>
      </c>
      <c r="Z76" s="89">
        <f t="shared" si="43"/>
        <v>-6</v>
      </c>
      <c r="AA76" s="89">
        <f t="shared" si="44"/>
        <v>-6</v>
      </c>
      <c r="AB76" s="89">
        <f t="shared" si="26"/>
        <v>-6</v>
      </c>
      <c r="AC76" s="145">
        <v>5</v>
      </c>
      <c r="AD76" s="334" t="s">
        <v>38</v>
      </c>
      <c r="AE76" s="94" t="s">
        <v>38</v>
      </c>
      <c r="AF76" s="94" t="s">
        <v>38</v>
      </c>
      <c r="AG76" s="94" t="s">
        <v>38</v>
      </c>
      <c r="AH76" s="94" t="s">
        <v>38</v>
      </c>
      <c r="AI76" s="94" t="s">
        <v>38</v>
      </c>
      <c r="AJ76" s="328">
        <v>0</v>
      </c>
      <c r="AK76" s="328">
        <v>0</v>
      </c>
      <c r="AL76" s="328">
        <v>0</v>
      </c>
      <c r="AM76" s="328">
        <v>0</v>
      </c>
      <c r="AN76" s="328">
        <v>0</v>
      </c>
      <c r="AO76" s="146"/>
      <c r="AP76" s="63"/>
    </row>
    <row r="77" spans="1:42" ht="21.75" customHeight="1" x14ac:dyDescent="0.45">
      <c r="A77" s="344" t="s">
        <v>89</v>
      </c>
      <c r="B77" s="268" t="s">
        <v>39</v>
      </c>
      <c r="C77" s="158" t="s">
        <v>38</v>
      </c>
      <c r="D77" s="75" t="s">
        <v>38</v>
      </c>
      <c r="E77" s="75" t="s">
        <v>38</v>
      </c>
      <c r="F77" s="75">
        <v>0</v>
      </c>
      <c r="G77" s="76" t="s">
        <v>38</v>
      </c>
      <c r="H77" s="76" t="s">
        <v>38</v>
      </c>
      <c r="I77" s="76">
        <v>0</v>
      </c>
      <c r="J77" s="77" t="s">
        <v>38</v>
      </c>
      <c r="K77" s="78">
        <f t="shared" si="45"/>
        <v>0</v>
      </c>
      <c r="L77" s="79">
        <v>0</v>
      </c>
      <c r="M77" s="218">
        <f t="shared" si="46"/>
        <v>0</v>
      </c>
      <c r="N77" s="98"/>
      <c r="O77" s="81"/>
      <c r="P77" s="82">
        <f>SUM(N77:O77)</f>
        <v>0</v>
      </c>
      <c r="Q77" s="83">
        <f t="shared" si="38"/>
        <v>0</v>
      </c>
      <c r="R77" s="84">
        <f t="shared" si="18"/>
        <v>0</v>
      </c>
      <c r="S77" s="83">
        <f t="shared" si="39"/>
        <v>0</v>
      </c>
      <c r="T77" s="96"/>
      <c r="U77" s="86"/>
      <c r="V77" s="136">
        <f t="shared" si="47"/>
        <v>0</v>
      </c>
      <c r="W77" s="78">
        <f t="shared" si="40"/>
        <v>0</v>
      </c>
      <c r="X77" s="87">
        <f t="shared" si="41"/>
        <v>0</v>
      </c>
      <c r="Y77" s="88">
        <f t="shared" si="42"/>
        <v>0</v>
      </c>
      <c r="Z77" s="89">
        <f t="shared" si="43"/>
        <v>0</v>
      </c>
      <c r="AA77" s="89">
        <f t="shared" si="44"/>
        <v>0</v>
      </c>
      <c r="AB77" s="89">
        <f t="shared" si="26"/>
        <v>0</v>
      </c>
      <c r="AC77" s="145">
        <v>3</v>
      </c>
      <c r="AD77" s="334" t="s">
        <v>38</v>
      </c>
      <c r="AE77" s="94" t="s">
        <v>38</v>
      </c>
      <c r="AF77" s="94" t="s">
        <v>38</v>
      </c>
      <c r="AG77" s="94" t="s">
        <v>38</v>
      </c>
      <c r="AH77" s="94" t="s">
        <v>38</v>
      </c>
      <c r="AI77" s="94" t="s">
        <v>38</v>
      </c>
      <c r="AJ77" s="328">
        <v>0</v>
      </c>
      <c r="AK77" s="328">
        <v>0</v>
      </c>
      <c r="AL77" s="328">
        <v>0</v>
      </c>
      <c r="AM77" s="328">
        <v>0</v>
      </c>
      <c r="AN77" s="328">
        <v>0</v>
      </c>
      <c r="AO77" s="146"/>
      <c r="AP77" s="63"/>
    </row>
    <row r="78" spans="1:42" ht="21.75" customHeight="1" x14ac:dyDescent="0.45">
      <c r="A78" s="344"/>
      <c r="B78" s="269" t="s">
        <v>32</v>
      </c>
      <c r="C78" s="75" t="s">
        <v>38</v>
      </c>
      <c r="D78" s="75" t="s">
        <v>38</v>
      </c>
      <c r="E78" s="75" t="s">
        <v>38</v>
      </c>
      <c r="F78" s="75" t="s">
        <v>38</v>
      </c>
      <c r="G78" s="76" t="s">
        <v>38</v>
      </c>
      <c r="H78" s="76" t="s">
        <v>38</v>
      </c>
      <c r="I78" s="76" t="s">
        <v>38</v>
      </c>
      <c r="J78" s="77" t="s">
        <v>38</v>
      </c>
      <c r="K78" s="78">
        <f t="shared" si="45"/>
        <v>0</v>
      </c>
      <c r="L78" s="79">
        <v>0</v>
      </c>
      <c r="M78" s="218">
        <f t="shared" si="46"/>
        <v>0</v>
      </c>
      <c r="N78" s="181"/>
      <c r="O78" s="98"/>
      <c r="P78" s="82">
        <f>SUM(O78:O78)</f>
        <v>0</v>
      </c>
      <c r="Q78" s="83">
        <f t="shared" si="38"/>
        <v>0</v>
      </c>
      <c r="R78" s="84">
        <f t="shared" si="18"/>
        <v>0</v>
      </c>
      <c r="S78" s="83">
        <f t="shared" si="39"/>
        <v>0</v>
      </c>
      <c r="T78" s="85"/>
      <c r="U78" s="86"/>
      <c r="V78" s="136">
        <f t="shared" si="47"/>
        <v>0</v>
      </c>
      <c r="W78" s="78">
        <f t="shared" si="40"/>
        <v>0</v>
      </c>
      <c r="X78" s="87">
        <f t="shared" si="41"/>
        <v>0</v>
      </c>
      <c r="Y78" s="88">
        <f t="shared" si="42"/>
        <v>0</v>
      </c>
      <c r="Z78" s="100">
        <f t="shared" si="43"/>
        <v>0</v>
      </c>
      <c r="AA78" s="100">
        <f t="shared" si="44"/>
        <v>0</v>
      </c>
      <c r="AB78" s="100">
        <f t="shared" si="26"/>
        <v>0</v>
      </c>
      <c r="AC78" s="145">
        <v>3</v>
      </c>
      <c r="AD78" s="334" t="s">
        <v>38</v>
      </c>
      <c r="AE78" s="94" t="s">
        <v>38</v>
      </c>
      <c r="AF78" s="94" t="s">
        <v>38</v>
      </c>
      <c r="AG78" s="94" t="s">
        <v>38</v>
      </c>
      <c r="AH78" s="94" t="s">
        <v>38</v>
      </c>
      <c r="AI78" s="94" t="s">
        <v>38</v>
      </c>
      <c r="AJ78" s="328">
        <v>0</v>
      </c>
      <c r="AK78" s="328">
        <v>0</v>
      </c>
      <c r="AL78" s="328">
        <v>0</v>
      </c>
      <c r="AM78" s="328">
        <v>0</v>
      </c>
      <c r="AN78" s="328">
        <v>0</v>
      </c>
      <c r="AO78" s="146"/>
      <c r="AP78" s="63"/>
    </row>
    <row r="79" spans="1:42" ht="21.75" customHeight="1" x14ac:dyDescent="0.45">
      <c r="A79" s="344"/>
      <c r="B79" s="268" t="s">
        <v>257</v>
      </c>
      <c r="C79" s="75" t="s">
        <v>38</v>
      </c>
      <c r="D79" s="75" t="s">
        <v>38</v>
      </c>
      <c r="E79" s="75">
        <v>1</v>
      </c>
      <c r="F79" s="75">
        <v>1</v>
      </c>
      <c r="G79" s="76" t="s">
        <v>38</v>
      </c>
      <c r="H79" s="76" t="s">
        <v>38</v>
      </c>
      <c r="I79" s="76">
        <v>6</v>
      </c>
      <c r="J79" s="77">
        <v>6</v>
      </c>
      <c r="K79" s="78">
        <f t="shared" si="45"/>
        <v>14</v>
      </c>
      <c r="L79" s="79">
        <v>1</v>
      </c>
      <c r="M79" s="218">
        <f t="shared" si="46"/>
        <v>13</v>
      </c>
      <c r="N79" s="98"/>
      <c r="O79" s="81"/>
      <c r="P79" s="82">
        <f t="shared" ref="P79:P89" si="48">SUM(N79:O79)</f>
        <v>0</v>
      </c>
      <c r="Q79" s="83">
        <f t="shared" si="38"/>
        <v>0</v>
      </c>
      <c r="R79" s="84">
        <f t="shared" si="18"/>
        <v>0</v>
      </c>
      <c r="S79" s="83">
        <f t="shared" si="39"/>
        <v>0</v>
      </c>
      <c r="T79" s="85"/>
      <c r="U79" s="125"/>
      <c r="V79" s="136">
        <f t="shared" si="47"/>
        <v>0</v>
      </c>
      <c r="W79" s="78">
        <f t="shared" si="40"/>
        <v>0</v>
      </c>
      <c r="X79" s="87">
        <f t="shared" si="41"/>
        <v>0</v>
      </c>
      <c r="Y79" s="88">
        <f t="shared" si="42"/>
        <v>0</v>
      </c>
      <c r="Z79" s="89">
        <f t="shared" si="43"/>
        <v>-13</v>
      </c>
      <c r="AA79" s="89">
        <f t="shared" si="44"/>
        <v>-13</v>
      </c>
      <c r="AB79" s="89">
        <f t="shared" si="26"/>
        <v>-13</v>
      </c>
      <c r="AC79" s="145">
        <v>5</v>
      </c>
      <c r="AD79" s="334" t="s">
        <v>38</v>
      </c>
      <c r="AE79" s="94">
        <v>2</v>
      </c>
      <c r="AF79" s="94" t="s">
        <v>38</v>
      </c>
      <c r="AG79" s="94" t="s">
        <v>38</v>
      </c>
      <c r="AH79" s="94" t="s">
        <v>38</v>
      </c>
      <c r="AI79" s="94" t="s">
        <v>38</v>
      </c>
      <c r="AJ79" s="328">
        <v>0</v>
      </c>
      <c r="AK79" s="328">
        <v>0</v>
      </c>
      <c r="AL79" s="328">
        <v>0</v>
      </c>
      <c r="AM79" s="328">
        <v>0</v>
      </c>
      <c r="AN79" s="328">
        <v>0</v>
      </c>
      <c r="AO79" s="94"/>
      <c r="AP79" s="63"/>
    </row>
    <row r="80" spans="1:42" ht="21.75" customHeight="1" x14ac:dyDescent="0.45">
      <c r="A80" s="344"/>
      <c r="B80" s="268" t="s">
        <v>258</v>
      </c>
      <c r="C80" s="75" t="s">
        <v>38</v>
      </c>
      <c r="D80" s="75" t="s">
        <v>38</v>
      </c>
      <c r="E80" s="75" t="s">
        <v>38</v>
      </c>
      <c r="F80" s="75" t="s">
        <v>38</v>
      </c>
      <c r="G80" s="76" t="s">
        <v>38</v>
      </c>
      <c r="H80" s="76" t="s">
        <v>38</v>
      </c>
      <c r="I80" s="76">
        <v>1</v>
      </c>
      <c r="J80" s="77">
        <v>2</v>
      </c>
      <c r="K80" s="78">
        <f t="shared" si="45"/>
        <v>3</v>
      </c>
      <c r="L80" s="79">
        <v>0</v>
      </c>
      <c r="M80" s="218">
        <f t="shared" si="46"/>
        <v>3</v>
      </c>
      <c r="N80" s="98"/>
      <c r="O80" s="81"/>
      <c r="P80" s="82">
        <f t="shared" si="48"/>
        <v>0</v>
      </c>
      <c r="Q80" s="83">
        <f t="shared" si="38"/>
        <v>0</v>
      </c>
      <c r="R80" s="84">
        <f t="shared" si="18"/>
        <v>0</v>
      </c>
      <c r="S80" s="83">
        <f t="shared" si="39"/>
        <v>0</v>
      </c>
      <c r="T80" s="125"/>
      <c r="U80" s="85"/>
      <c r="V80" s="136">
        <f t="shared" si="47"/>
        <v>0</v>
      </c>
      <c r="W80" s="78">
        <f t="shared" si="40"/>
        <v>0</v>
      </c>
      <c r="X80" s="87">
        <f t="shared" si="41"/>
        <v>0</v>
      </c>
      <c r="Y80" s="88">
        <f t="shared" si="42"/>
        <v>0</v>
      </c>
      <c r="Z80" s="89">
        <f t="shared" si="43"/>
        <v>-3</v>
      </c>
      <c r="AA80" s="89">
        <f t="shared" si="44"/>
        <v>-3</v>
      </c>
      <c r="AB80" s="89">
        <f t="shared" si="26"/>
        <v>-3</v>
      </c>
      <c r="AC80" s="145">
        <v>5</v>
      </c>
      <c r="AD80" s="334" t="s">
        <v>38</v>
      </c>
      <c r="AE80" s="94" t="s">
        <v>38</v>
      </c>
      <c r="AF80" s="94" t="s">
        <v>38</v>
      </c>
      <c r="AG80" s="94" t="s">
        <v>38</v>
      </c>
      <c r="AH80" s="94" t="s">
        <v>38</v>
      </c>
      <c r="AI80" s="94" t="s">
        <v>38</v>
      </c>
      <c r="AJ80" s="328">
        <v>0</v>
      </c>
      <c r="AK80" s="328">
        <v>0</v>
      </c>
      <c r="AL80" s="328">
        <v>0</v>
      </c>
      <c r="AM80" s="328">
        <v>0</v>
      </c>
      <c r="AN80" s="328">
        <v>0</v>
      </c>
      <c r="AO80" s="146"/>
      <c r="AP80" s="63"/>
    </row>
    <row r="81" spans="1:42" ht="21.75" customHeight="1" x14ac:dyDescent="0.45">
      <c r="A81" s="344"/>
      <c r="B81" s="268" t="s">
        <v>259</v>
      </c>
      <c r="C81" s="75" t="s">
        <v>38</v>
      </c>
      <c r="D81" s="75" t="s">
        <v>38</v>
      </c>
      <c r="E81" s="75" t="s">
        <v>38</v>
      </c>
      <c r="F81" s="75">
        <v>1</v>
      </c>
      <c r="G81" s="76" t="s">
        <v>38</v>
      </c>
      <c r="H81" s="76" t="s">
        <v>38</v>
      </c>
      <c r="I81" s="76">
        <v>2</v>
      </c>
      <c r="J81" s="77">
        <v>2</v>
      </c>
      <c r="K81" s="78">
        <f t="shared" si="45"/>
        <v>5</v>
      </c>
      <c r="L81" s="79">
        <v>0</v>
      </c>
      <c r="M81" s="218">
        <f t="shared" si="46"/>
        <v>5</v>
      </c>
      <c r="N81" s="81"/>
      <c r="O81" s="81"/>
      <c r="P81" s="82">
        <f t="shared" si="48"/>
        <v>0</v>
      </c>
      <c r="Q81" s="83">
        <f t="shared" si="38"/>
        <v>0</v>
      </c>
      <c r="R81" s="84">
        <f t="shared" si="18"/>
        <v>0</v>
      </c>
      <c r="S81" s="83">
        <f t="shared" si="39"/>
        <v>0</v>
      </c>
      <c r="T81" s="125"/>
      <c r="U81" s="85"/>
      <c r="V81" s="136">
        <f t="shared" si="47"/>
        <v>0</v>
      </c>
      <c r="W81" s="78">
        <f t="shared" si="40"/>
        <v>0</v>
      </c>
      <c r="X81" s="87">
        <f t="shared" si="41"/>
        <v>0</v>
      </c>
      <c r="Y81" s="88">
        <f t="shared" si="42"/>
        <v>0</v>
      </c>
      <c r="Z81" s="89">
        <f t="shared" si="43"/>
        <v>-5</v>
      </c>
      <c r="AA81" s="89">
        <f t="shared" si="44"/>
        <v>-5</v>
      </c>
      <c r="AB81" s="89">
        <f t="shared" si="26"/>
        <v>-5</v>
      </c>
      <c r="AC81" s="145">
        <v>5</v>
      </c>
      <c r="AD81" s="334" t="s">
        <v>38</v>
      </c>
      <c r="AE81" s="94">
        <v>1</v>
      </c>
      <c r="AF81" s="94" t="s">
        <v>38</v>
      </c>
      <c r="AG81" s="94" t="s">
        <v>38</v>
      </c>
      <c r="AH81" s="94" t="s">
        <v>38</v>
      </c>
      <c r="AI81" s="94" t="s">
        <v>38</v>
      </c>
      <c r="AJ81" s="328">
        <v>0</v>
      </c>
      <c r="AK81" s="328">
        <v>0</v>
      </c>
      <c r="AL81" s="328">
        <v>0</v>
      </c>
      <c r="AM81" s="328">
        <v>0</v>
      </c>
      <c r="AN81" s="328">
        <v>0</v>
      </c>
      <c r="AO81" s="146"/>
      <c r="AP81" s="63"/>
    </row>
    <row r="82" spans="1:42" ht="21.75" customHeight="1" x14ac:dyDescent="0.55000000000000004">
      <c r="A82" s="177" t="s">
        <v>90</v>
      </c>
      <c r="B82" s="268" t="s">
        <v>31</v>
      </c>
      <c r="C82" s="158" t="s">
        <v>38</v>
      </c>
      <c r="D82" s="75">
        <v>2</v>
      </c>
      <c r="E82" s="75">
        <v>2</v>
      </c>
      <c r="F82" s="75">
        <v>3</v>
      </c>
      <c r="G82" s="76" t="s">
        <v>38</v>
      </c>
      <c r="H82" s="76" t="s">
        <v>38</v>
      </c>
      <c r="I82" s="76">
        <v>1</v>
      </c>
      <c r="J82" s="77">
        <v>2</v>
      </c>
      <c r="K82" s="78">
        <f t="shared" si="45"/>
        <v>10</v>
      </c>
      <c r="L82" s="79">
        <v>0</v>
      </c>
      <c r="M82" s="218">
        <f t="shared" si="46"/>
        <v>10</v>
      </c>
      <c r="N82" s="81"/>
      <c r="O82" s="81"/>
      <c r="P82" s="82">
        <f t="shared" si="48"/>
        <v>0</v>
      </c>
      <c r="Q82" s="83">
        <f t="shared" si="38"/>
        <v>0</v>
      </c>
      <c r="R82" s="84">
        <f t="shared" si="18"/>
        <v>0</v>
      </c>
      <c r="S82" s="83">
        <f t="shared" si="39"/>
        <v>0</v>
      </c>
      <c r="T82" s="125"/>
      <c r="U82" s="85"/>
      <c r="V82" s="136">
        <f t="shared" si="47"/>
        <v>0</v>
      </c>
      <c r="W82" s="78">
        <f t="shared" si="40"/>
        <v>0</v>
      </c>
      <c r="X82" s="87">
        <f t="shared" si="41"/>
        <v>0</v>
      </c>
      <c r="Y82" s="88">
        <f t="shared" si="42"/>
        <v>0</v>
      </c>
      <c r="Z82" s="89">
        <f t="shared" si="43"/>
        <v>-10</v>
      </c>
      <c r="AA82" s="89">
        <f t="shared" si="44"/>
        <v>-10</v>
      </c>
      <c r="AB82" s="89">
        <f t="shared" si="26"/>
        <v>-10</v>
      </c>
      <c r="AC82" s="145">
        <v>5</v>
      </c>
      <c r="AD82" s="334" t="s">
        <v>38</v>
      </c>
      <c r="AE82" s="94" t="s">
        <v>38</v>
      </c>
      <c r="AF82" s="94" t="s">
        <v>38</v>
      </c>
      <c r="AG82" s="94">
        <v>2</v>
      </c>
      <c r="AH82" s="94" t="s">
        <v>38</v>
      </c>
      <c r="AI82" s="94" t="s">
        <v>38</v>
      </c>
      <c r="AJ82" s="328">
        <v>0</v>
      </c>
      <c r="AK82" s="328">
        <v>0</v>
      </c>
      <c r="AL82" s="328">
        <v>0</v>
      </c>
      <c r="AM82" s="328">
        <v>0</v>
      </c>
      <c r="AN82" s="328">
        <v>0</v>
      </c>
      <c r="AO82" s="146"/>
      <c r="AP82" s="63"/>
    </row>
    <row r="83" spans="1:42" ht="21.75" customHeight="1" x14ac:dyDescent="0.55000000000000004">
      <c r="A83" s="177" t="s">
        <v>91</v>
      </c>
      <c r="B83" s="268" t="s">
        <v>31</v>
      </c>
      <c r="C83" s="158" t="s">
        <v>38</v>
      </c>
      <c r="D83" s="75" t="s">
        <v>38</v>
      </c>
      <c r="E83" s="75" t="s">
        <v>38</v>
      </c>
      <c r="F83" s="75">
        <v>2</v>
      </c>
      <c r="G83" s="76" t="s">
        <v>38</v>
      </c>
      <c r="H83" s="76" t="s">
        <v>38</v>
      </c>
      <c r="I83" s="76">
        <v>2</v>
      </c>
      <c r="J83" s="77">
        <v>6</v>
      </c>
      <c r="K83" s="78">
        <f t="shared" si="45"/>
        <v>10</v>
      </c>
      <c r="L83" s="79">
        <v>0</v>
      </c>
      <c r="M83" s="218">
        <f t="shared" si="46"/>
        <v>10</v>
      </c>
      <c r="N83" s="81"/>
      <c r="O83" s="81"/>
      <c r="P83" s="82">
        <f t="shared" si="48"/>
        <v>0</v>
      </c>
      <c r="Q83" s="83">
        <f t="shared" si="38"/>
        <v>0</v>
      </c>
      <c r="R83" s="84">
        <f t="shared" si="18"/>
        <v>0</v>
      </c>
      <c r="S83" s="83">
        <f t="shared" si="39"/>
        <v>0</v>
      </c>
      <c r="T83" s="125"/>
      <c r="U83" s="85"/>
      <c r="V83" s="136">
        <f t="shared" si="47"/>
        <v>0</v>
      </c>
      <c r="W83" s="78">
        <f t="shared" si="40"/>
        <v>0</v>
      </c>
      <c r="X83" s="87">
        <f t="shared" si="41"/>
        <v>0</v>
      </c>
      <c r="Y83" s="88">
        <f t="shared" si="42"/>
        <v>0</v>
      </c>
      <c r="Z83" s="89">
        <f t="shared" si="43"/>
        <v>-10</v>
      </c>
      <c r="AA83" s="89">
        <f t="shared" si="44"/>
        <v>-10</v>
      </c>
      <c r="AB83" s="89">
        <f t="shared" si="26"/>
        <v>-10</v>
      </c>
      <c r="AC83" s="145">
        <v>5</v>
      </c>
      <c r="AD83" s="334" t="s">
        <v>38</v>
      </c>
      <c r="AE83" s="94" t="s">
        <v>38</v>
      </c>
      <c r="AF83" s="94" t="s">
        <v>38</v>
      </c>
      <c r="AG83" s="94" t="s">
        <v>38</v>
      </c>
      <c r="AH83" s="94" t="s">
        <v>38</v>
      </c>
      <c r="AI83" s="94" t="s">
        <v>38</v>
      </c>
      <c r="AJ83" s="328">
        <v>0</v>
      </c>
      <c r="AK83" s="328">
        <v>0</v>
      </c>
      <c r="AL83" s="328">
        <v>0</v>
      </c>
      <c r="AM83" s="328">
        <v>0</v>
      </c>
      <c r="AN83" s="328">
        <v>0</v>
      </c>
      <c r="AO83" s="146"/>
      <c r="AP83" s="63"/>
    </row>
    <row r="84" spans="1:42" ht="21.75" customHeight="1" x14ac:dyDescent="0.45">
      <c r="A84" s="345" t="s">
        <v>253</v>
      </c>
      <c r="B84" s="270" t="s">
        <v>251</v>
      </c>
      <c r="C84" s="158">
        <v>0</v>
      </c>
      <c r="D84" s="75">
        <v>0</v>
      </c>
      <c r="E84" s="75">
        <v>0</v>
      </c>
      <c r="F84" s="75">
        <v>0</v>
      </c>
      <c r="G84" s="76">
        <v>0</v>
      </c>
      <c r="H84" s="76">
        <v>0</v>
      </c>
      <c r="I84" s="76">
        <v>0</v>
      </c>
      <c r="J84" s="77">
        <v>0</v>
      </c>
      <c r="K84" s="78">
        <f>SUM(C84:J84)</f>
        <v>0</v>
      </c>
      <c r="L84" s="79">
        <v>0</v>
      </c>
      <c r="M84" s="218">
        <f>K84-L84</f>
        <v>0</v>
      </c>
      <c r="N84" s="81"/>
      <c r="O84" s="81"/>
      <c r="P84" s="82">
        <f>SUM(N84:O84)</f>
        <v>0</v>
      </c>
      <c r="Q84" s="83">
        <f>P84/25</f>
        <v>0</v>
      </c>
      <c r="R84" s="84">
        <f>(P84*0.05)+P84</f>
        <v>0</v>
      </c>
      <c r="S84" s="83">
        <f>R84/25</f>
        <v>0</v>
      </c>
      <c r="T84" s="125"/>
      <c r="U84" s="85"/>
      <c r="V84" s="136">
        <f t="shared" si="47"/>
        <v>0</v>
      </c>
      <c r="W84" s="78">
        <f>V84/2</f>
        <v>0</v>
      </c>
      <c r="X84" s="87">
        <f>V84/35</f>
        <v>0</v>
      </c>
      <c r="Y84" s="88">
        <f>W84/14</f>
        <v>0</v>
      </c>
      <c r="Z84" s="89">
        <f>Q84-M84</f>
        <v>0</v>
      </c>
      <c r="AA84" s="89">
        <f>X84-M84</f>
        <v>0</v>
      </c>
      <c r="AB84" s="89">
        <f>Y84-M84</f>
        <v>0</v>
      </c>
      <c r="AC84" s="145">
        <v>3</v>
      </c>
      <c r="AD84" s="334" t="s">
        <v>38</v>
      </c>
      <c r="AE84" s="220">
        <v>0</v>
      </c>
      <c r="AF84" s="220">
        <v>0</v>
      </c>
      <c r="AG84" s="220">
        <v>0</v>
      </c>
      <c r="AH84" s="220">
        <v>0</v>
      </c>
      <c r="AI84" s="220">
        <v>0</v>
      </c>
      <c r="AJ84" s="328">
        <v>0</v>
      </c>
      <c r="AK84" s="328">
        <v>0</v>
      </c>
      <c r="AL84" s="328">
        <v>0</v>
      </c>
      <c r="AM84" s="328">
        <v>0</v>
      </c>
      <c r="AN84" s="328">
        <v>0</v>
      </c>
      <c r="AO84" s="146"/>
      <c r="AP84" s="63"/>
    </row>
    <row r="85" spans="1:42" ht="21.75" customHeight="1" x14ac:dyDescent="0.45">
      <c r="A85" s="346"/>
      <c r="B85" s="270" t="s">
        <v>252</v>
      </c>
      <c r="C85" s="158">
        <v>0</v>
      </c>
      <c r="D85" s="75">
        <v>0</v>
      </c>
      <c r="E85" s="75">
        <v>0</v>
      </c>
      <c r="F85" s="75">
        <v>0</v>
      </c>
      <c r="G85" s="76">
        <v>0</v>
      </c>
      <c r="H85" s="76">
        <v>0</v>
      </c>
      <c r="I85" s="76">
        <v>1</v>
      </c>
      <c r="J85" s="77">
        <v>4</v>
      </c>
      <c r="K85" s="78">
        <f>SUM(C85:J85)</f>
        <v>5</v>
      </c>
      <c r="L85" s="79">
        <v>0</v>
      </c>
      <c r="M85" s="218">
        <f>K85-L85</f>
        <v>5</v>
      </c>
      <c r="N85" s="81"/>
      <c r="O85" s="81"/>
      <c r="P85" s="82">
        <f>SUM(N85:O85)</f>
        <v>0</v>
      </c>
      <c r="Q85" s="83">
        <f>P85/25</f>
        <v>0</v>
      </c>
      <c r="R85" s="84">
        <f>(P85*0.05)+P85</f>
        <v>0</v>
      </c>
      <c r="S85" s="83">
        <f>R85/25</f>
        <v>0</v>
      </c>
      <c r="T85" s="125"/>
      <c r="U85" s="85"/>
      <c r="V85" s="136">
        <f t="shared" si="47"/>
        <v>0</v>
      </c>
      <c r="W85" s="78">
        <f>V85/2</f>
        <v>0</v>
      </c>
      <c r="X85" s="87">
        <f>V85/35</f>
        <v>0</v>
      </c>
      <c r="Y85" s="88">
        <f>W85/14</f>
        <v>0</v>
      </c>
      <c r="Z85" s="89">
        <f>Q85-M85</f>
        <v>-5</v>
      </c>
      <c r="AA85" s="89">
        <f>X85-M85</f>
        <v>-5</v>
      </c>
      <c r="AB85" s="89">
        <f>Y85-M85</f>
        <v>-5</v>
      </c>
      <c r="AC85" s="145">
        <v>5</v>
      </c>
      <c r="AD85" s="334" t="s">
        <v>38</v>
      </c>
      <c r="AE85" s="220">
        <v>0</v>
      </c>
      <c r="AF85" s="220">
        <v>0</v>
      </c>
      <c r="AG85" s="220">
        <v>0</v>
      </c>
      <c r="AH85" s="220">
        <v>0</v>
      </c>
      <c r="AI85" s="220">
        <v>0</v>
      </c>
      <c r="AJ85" s="328">
        <v>0</v>
      </c>
      <c r="AK85" s="328">
        <v>0</v>
      </c>
      <c r="AL85" s="328">
        <v>0</v>
      </c>
      <c r="AM85" s="328">
        <v>0</v>
      </c>
      <c r="AN85" s="328">
        <v>0</v>
      </c>
      <c r="AO85" s="146"/>
      <c r="AP85" s="63"/>
    </row>
    <row r="86" spans="1:42" ht="21.75" customHeight="1" x14ac:dyDescent="0.55000000000000004">
      <c r="A86" s="177" t="s">
        <v>254</v>
      </c>
      <c r="B86" s="268" t="s">
        <v>31</v>
      </c>
      <c r="C86" s="158" t="s">
        <v>38</v>
      </c>
      <c r="D86" s="75" t="s">
        <v>38</v>
      </c>
      <c r="E86" s="75">
        <v>1</v>
      </c>
      <c r="F86" s="75" t="s">
        <v>38</v>
      </c>
      <c r="G86" s="76" t="s">
        <v>38</v>
      </c>
      <c r="H86" s="76" t="s">
        <v>38</v>
      </c>
      <c r="I86" s="76" t="s">
        <v>38</v>
      </c>
      <c r="J86" s="77">
        <v>4</v>
      </c>
      <c r="K86" s="78">
        <f t="shared" si="45"/>
        <v>5</v>
      </c>
      <c r="L86" s="79">
        <v>0</v>
      </c>
      <c r="M86" s="218">
        <f t="shared" si="46"/>
        <v>5</v>
      </c>
      <c r="N86" s="81"/>
      <c r="O86" s="81"/>
      <c r="P86" s="82">
        <f t="shared" si="48"/>
        <v>0</v>
      </c>
      <c r="Q86" s="83">
        <f t="shared" si="38"/>
        <v>0</v>
      </c>
      <c r="R86" s="84">
        <f t="shared" ref="R86:R105" si="49">(P86*0.05)+P86</f>
        <v>0</v>
      </c>
      <c r="S86" s="83">
        <f t="shared" si="39"/>
        <v>0</v>
      </c>
      <c r="T86" s="125"/>
      <c r="U86" s="85"/>
      <c r="V86" s="136">
        <f t="shared" si="47"/>
        <v>0</v>
      </c>
      <c r="W86" s="78">
        <f t="shared" si="40"/>
        <v>0</v>
      </c>
      <c r="X86" s="87">
        <f t="shared" si="41"/>
        <v>0</v>
      </c>
      <c r="Y86" s="88">
        <f t="shared" si="42"/>
        <v>0</v>
      </c>
      <c r="Z86" s="89">
        <f t="shared" si="43"/>
        <v>-5</v>
      </c>
      <c r="AA86" s="89">
        <f t="shared" si="44"/>
        <v>-5</v>
      </c>
      <c r="AB86" s="89">
        <f t="shared" si="26"/>
        <v>-5</v>
      </c>
      <c r="AC86" s="145">
        <v>5</v>
      </c>
      <c r="AD86" s="334" t="s">
        <v>38</v>
      </c>
      <c r="AE86" s="94" t="s">
        <v>38</v>
      </c>
      <c r="AF86" s="94" t="s">
        <v>38</v>
      </c>
      <c r="AG86" s="94" t="s">
        <v>38</v>
      </c>
      <c r="AH86" s="94" t="s">
        <v>38</v>
      </c>
      <c r="AI86" s="94" t="s">
        <v>38</v>
      </c>
      <c r="AJ86" s="328">
        <v>0</v>
      </c>
      <c r="AK86" s="328">
        <v>0</v>
      </c>
      <c r="AL86" s="328">
        <v>0</v>
      </c>
      <c r="AM86" s="328">
        <v>0</v>
      </c>
      <c r="AN86" s="328">
        <v>0</v>
      </c>
      <c r="AO86" s="146"/>
      <c r="AP86" s="63"/>
    </row>
    <row r="87" spans="1:42" ht="21.75" customHeight="1" x14ac:dyDescent="0.55000000000000004">
      <c r="A87" s="177" t="s">
        <v>255</v>
      </c>
      <c r="B87" s="268" t="s">
        <v>30</v>
      </c>
      <c r="C87" s="158" t="s">
        <v>38</v>
      </c>
      <c r="D87" s="75">
        <v>3</v>
      </c>
      <c r="E87" s="75" t="s">
        <v>38</v>
      </c>
      <c r="F87" s="75">
        <v>1</v>
      </c>
      <c r="G87" s="76" t="s">
        <v>38</v>
      </c>
      <c r="H87" s="76">
        <v>1</v>
      </c>
      <c r="I87" s="76">
        <v>1</v>
      </c>
      <c r="J87" s="77">
        <v>2</v>
      </c>
      <c r="K87" s="78">
        <f t="shared" si="45"/>
        <v>8</v>
      </c>
      <c r="L87" s="79">
        <v>0</v>
      </c>
      <c r="M87" s="218">
        <f t="shared" si="46"/>
        <v>8</v>
      </c>
      <c r="N87" s="81"/>
      <c r="O87" s="81"/>
      <c r="P87" s="82">
        <f t="shared" si="48"/>
        <v>0</v>
      </c>
      <c r="Q87" s="83">
        <f t="shared" si="38"/>
        <v>0</v>
      </c>
      <c r="R87" s="84">
        <f t="shared" si="49"/>
        <v>0</v>
      </c>
      <c r="S87" s="83">
        <f t="shared" si="39"/>
        <v>0</v>
      </c>
      <c r="T87" s="125"/>
      <c r="U87" s="85"/>
      <c r="V87" s="136">
        <f t="shared" si="47"/>
        <v>0</v>
      </c>
      <c r="W87" s="78">
        <f t="shared" si="40"/>
        <v>0</v>
      </c>
      <c r="X87" s="87">
        <f t="shared" si="41"/>
        <v>0</v>
      </c>
      <c r="Y87" s="88">
        <f t="shared" si="42"/>
        <v>0</v>
      </c>
      <c r="Z87" s="89">
        <f t="shared" si="43"/>
        <v>-8</v>
      </c>
      <c r="AA87" s="89">
        <f t="shared" si="44"/>
        <v>-8</v>
      </c>
      <c r="AB87" s="89">
        <f t="shared" si="26"/>
        <v>-8</v>
      </c>
      <c r="AC87" s="145">
        <v>5</v>
      </c>
      <c r="AD87" s="334" t="s">
        <v>38</v>
      </c>
      <c r="AE87" s="94">
        <v>1</v>
      </c>
      <c r="AF87" s="94" t="s">
        <v>38</v>
      </c>
      <c r="AG87" s="94" t="s">
        <v>38</v>
      </c>
      <c r="AH87" s="94" t="s">
        <v>38</v>
      </c>
      <c r="AI87" s="94" t="s">
        <v>38</v>
      </c>
      <c r="AJ87" s="328">
        <v>0</v>
      </c>
      <c r="AK87" s="328">
        <v>0</v>
      </c>
      <c r="AL87" s="328">
        <v>0</v>
      </c>
      <c r="AM87" s="328">
        <v>0</v>
      </c>
      <c r="AN87" s="328">
        <v>0</v>
      </c>
      <c r="AO87" s="146"/>
      <c r="AP87" s="63"/>
    </row>
    <row r="88" spans="1:42" ht="21.75" customHeight="1" x14ac:dyDescent="0.45">
      <c r="A88" s="344" t="s">
        <v>256</v>
      </c>
      <c r="B88" s="268" t="s">
        <v>260</v>
      </c>
      <c r="C88" s="158" t="s">
        <v>38</v>
      </c>
      <c r="D88" s="75" t="s">
        <v>38</v>
      </c>
      <c r="E88" s="75">
        <v>1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4</v>
      </c>
      <c r="K88" s="78">
        <f t="shared" si="45"/>
        <v>6</v>
      </c>
      <c r="L88" s="79">
        <v>0</v>
      </c>
      <c r="M88" s="218">
        <f t="shared" si="46"/>
        <v>6</v>
      </c>
      <c r="N88" s="81"/>
      <c r="O88" s="81"/>
      <c r="P88" s="82">
        <f t="shared" si="48"/>
        <v>0</v>
      </c>
      <c r="Q88" s="83">
        <f t="shared" si="38"/>
        <v>0</v>
      </c>
      <c r="R88" s="84">
        <f t="shared" si="49"/>
        <v>0</v>
      </c>
      <c r="S88" s="83">
        <f t="shared" si="39"/>
        <v>0</v>
      </c>
      <c r="T88" s="125"/>
      <c r="U88" s="85"/>
      <c r="V88" s="136">
        <f t="shared" si="47"/>
        <v>0</v>
      </c>
      <c r="W88" s="78">
        <f t="shared" si="40"/>
        <v>0</v>
      </c>
      <c r="X88" s="87">
        <f t="shared" si="41"/>
        <v>0</v>
      </c>
      <c r="Y88" s="88">
        <f t="shared" si="42"/>
        <v>0</v>
      </c>
      <c r="Z88" s="89">
        <f t="shared" si="43"/>
        <v>-6</v>
      </c>
      <c r="AA88" s="89">
        <f t="shared" si="44"/>
        <v>-6</v>
      </c>
      <c r="AB88" s="89">
        <f t="shared" si="26"/>
        <v>-6</v>
      </c>
      <c r="AC88" s="145">
        <v>5</v>
      </c>
      <c r="AD88" s="334" t="s">
        <v>38</v>
      </c>
      <c r="AE88" s="94" t="s">
        <v>38</v>
      </c>
      <c r="AF88" s="94" t="s">
        <v>38</v>
      </c>
      <c r="AG88" s="94" t="s">
        <v>38</v>
      </c>
      <c r="AH88" s="94" t="s">
        <v>38</v>
      </c>
      <c r="AI88" s="94" t="s">
        <v>38</v>
      </c>
      <c r="AJ88" s="328">
        <v>0</v>
      </c>
      <c r="AK88" s="328">
        <v>0</v>
      </c>
      <c r="AL88" s="328">
        <v>0</v>
      </c>
      <c r="AM88" s="328">
        <v>0</v>
      </c>
      <c r="AN88" s="328">
        <v>0</v>
      </c>
      <c r="AO88" s="146"/>
      <c r="AP88" s="63"/>
    </row>
    <row r="89" spans="1:42" ht="21.75" customHeight="1" x14ac:dyDescent="0.45">
      <c r="A89" s="344"/>
      <c r="B89" s="268" t="s">
        <v>261</v>
      </c>
      <c r="C89" s="158" t="s">
        <v>38</v>
      </c>
      <c r="D89" s="75" t="s">
        <v>38</v>
      </c>
      <c r="E89" s="75">
        <v>2</v>
      </c>
      <c r="F89" s="75">
        <v>1</v>
      </c>
      <c r="G89" s="76" t="s">
        <v>38</v>
      </c>
      <c r="H89" s="76" t="s">
        <v>38</v>
      </c>
      <c r="I89" s="76" t="s">
        <v>38</v>
      </c>
      <c r="J89" s="77">
        <v>3</v>
      </c>
      <c r="K89" s="78">
        <f t="shared" si="45"/>
        <v>6</v>
      </c>
      <c r="L89" s="79">
        <v>0</v>
      </c>
      <c r="M89" s="218">
        <f t="shared" si="46"/>
        <v>6</v>
      </c>
      <c r="N89" s="81"/>
      <c r="O89" s="81"/>
      <c r="P89" s="82">
        <f t="shared" si="48"/>
        <v>0</v>
      </c>
      <c r="Q89" s="83">
        <f t="shared" si="38"/>
        <v>0</v>
      </c>
      <c r="R89" s="84">
        <f t="shared" si="49"/>
        <v>0</v>
      </c>
      <c r="S89" s="83">
        <f t="shared" si="39"/>
        <v>0</v>
      </c>
      <c r="T89" s="125"/>
      <c r="U89" s="85"/>
      <c r="V89" s="136">
        <f t="shared" si="47"/>
        <v>0</v>
      </c>
      <c r="W89" s="78">
        <f t="shared" si="40"/>
        <v>0</v>
      </c>
      <c r="X89" s="87">
        <f t="shared" si="41"/>
        <v>0</v>
      </c>
      <c r="Y89" s="88">
        <f t="shared" si="42"/>
        <v>0</v>
      </c>
      <c r="Z89" s="89">
        <f t="shared" si="43"/>
        <v>-6</v>
      </c>
      <c r="AA89" s="89">
        <f t="shared" si="44"/>
        <v>-6</v>
      </c>
      <c r="AB89" s="89">
        <f t="shared" si="26"/>
        <v>-6</v>
      </c>
      <c r="AC89" s="145">
        <v>5</v>
      </c>
      <c r="AD89" s="334" t="s">
        <v>38</v>
      </c>
      <c r="AE89" s="94" t="s">
        <v>38</v>
      </c>
      <c r="AF89" s="94" t="s">
        <v>38</v>
      </c>
      <c r="AG89" s="94" t="s">
        <v>38</v>
      </c>
      <c r="AH89" s="94" t="s">
        <v>38</v>
      </c>
      <c r="AI89" s="94" t="s">
        <v>38</v>
      </c>
      <c r="AJ89" s="328">
        <v>0</v>
      </c>
      <c r="AK89" s="328">
        <v>0</v>
      </c>
      <c r="AL89" s="328">
        <v>0</v>
      </c>
      <c r="AM89" s="328">
        <v>0</v>
      </c>
      <c r="AN89" s="328">
        <v>0</v>
      </c>
      <c r="AO89" s="146"/>
      <c r="AP89" s="63"/>
    </row>
    <row r="90" spans="1:42" s="18" customFormat="1" ht="21.75" customHeight="1" x14ac:dyDescent="0.55000000000000004">
      <c r="A90" s="183" t="s">
        <v>95</v>
      </c>
      <c r="B90" s="271"/>
      <c r="C90" s="149">
        <f>SUM(C91:C99)</f>
        <v>0</v>
      </c>
      <c r="D90" s="149">
        <f t="shared" ref="D90:L90" si="50">SUM(D91:D99)</f>
        <v>0</v>
      </c>
      <c r="E90" s="149">
        <f t="shared" si="50"/>
        <v>5</v>
      </c>
      <c r="F90" s="149">
        <f>SUM(F91:F99)</f>
        <v>6</v>
      </c>
      <c r="G90" s="149">
        <f t="shared" si="50"/>
        <v>0</v>
      </c>
      <c r="H90" s="149">
        <f t="shared" si="50"/>
        <v>0</v>
      </c>
      <c r="I90" s="149">
        <f t="shared" si="50"/>
        <v>16</v>
      </c>
      <c r="J90" s="149">
        <f t="shared" si="50"/>
        <v>32</v>
      </c>
      <c r="K90" s="150">
        <f t="shared" si="50"/>
        <v>59</v>
      </c>
      <c r="L90" s="150">
        <f t="shared" si="50"/>
        <v>4</v>
      </c>
      <c r="M90" s="150">
        <f>SUM(M91:M99)</f>
        <v>55</v>
      </c>
      <c r="N90" s="150">
        <f t="shared" ref="N90:AI90" si="51">SUM(N91:N99)</f>
        <v>0</v>
      </c>
      <c r="O90" s="150">
        <f t="shared" si="51"/>
        <v>0</v>
      </c>
      <c r="P90" s="150">
        <f t="shared" si="51"/>
        <v>0</v>
      </c>
      <c r="Q90" s="150">
        <f t="shared" si="51"/>
        <v>0</v>
      </c>
      <c r="R90" s="150">
        <f t="shared" si="51"/>
        <v>35</v>
      </c>
      <c r="S90" s="150">
        <f t="shared" si="51"/>
        <v>1.75</v>
      </c>
      <c r="T90" s="252"/>
      <c r="U90" s="252"/>
      <c r="V90" s="252"/>
      <c r="W90" s="252">
        <f t="shared" si="51"/>
        <v>0</v>
      </c>
      <c r="X90" s="150">
        <f t="shared" si="51"/>
        <v>0</v>
      </c>
      <c r="Y90" s="150">
        <f t="shared" si="51"/>
        <v>0</v>
      </c>
      <c r="Z90" s="151">
        <f t="shared" si="51"/>
        <v>-55</v>
      </c>
      <c r="AA90" s="151">
        <f t="shared" si="51"/>
        <v>-55</v>
      </c>
      <c r="AB90" s="150">
        <f t="shared" si="51"/>
        <v>-55</v>
      </c>
      <c r="AC90" s="150">
        <f t="shared" si="51"/>
        <v>45</v>
      </c>
      <c r="AD90" s="252">
        <f t="shared" si="51"/>
        <v>0</v>
      </c>
      <c r="AE90" s="150">
        <f t="shared" si="51"/>
        <v>0</v>
      </c>
      <c r="AF90" s="150">
        <f t="shared" si="51"/>
        <v>0</v>
      </c>
      <c r="AG90" s="150">
        <f t="shared" si="51"/>
        <v>0</v>
      </c>
      <c r="AH90" s="150">
        <f t="shared" si="51"/>
        <v>0</v>
      </c>
      <c r="AI90" s="150">
        <f t="shared" si="51"/>
        <v>0</v>
      </c>
      <c r="AJ90" s="252">
        <v>0</v>
      </c>
      <c r="AK90" s="252">
        <v>0</v>
      </c>
      <c r="AL90" s="252">
        <v>0</v>
      </c>
      <c r="AM90" s="252">
        <v>0</v>
      </c>
      <c r="AN90" s="329">
        <v>0</v>
      </c>
      <c r="AO90" s="156"/>
      <c r="AP90" s="72"/>
    </row>
    <row r="91" spans="1:42" ht="21.75" customHeight="1" x14ac:dyDescent="0.55000000000000004">
      <c r="A91" s="177" t="s">
        <v>216</v>
      </c>
      <c r="B91" s="268" t="s">
        <v>34</v>
      </c>
      <c r="C91" s="158" t="s">
        <v>38</v>
      </c>
      <c r="D91" s="75" t="s">
        <v>38</v>
      </c>
      <c r="E91" s="75" t="s">
        <v>38</v>
      </c>
      <c r="F91" s="75">
        <v>1</v>
      </c>
      <c r="G91" s="76" t="s">
        <v>38</v>
      </c>
      <c r="H91" s="76" t="s">
        <v>38</v>
      </c>
      <c r="I91" s="76">
        <v>2</v>
      </c>
      <c r="J91" s="77">
        <v>4</v>
      </c>
      <c r="K91" s="78">
        <f t="shared" ref="K91:K99" si="52">SUM(C91:J91)</f>
        <v>7</v>
      </c>
      <c r="L91" s="79">
        <v>2</v>
      </c>
      <c r="M91" s="218">
        <f t="shared" ref="M91:M99" si="53">K91-L91</f>
        <v>5</v>
      </c>
      <c r="N91" s="81"/>
      <c r="O91" s="81"/>
      <c r="P91" s="82">
        <f t="shared" ref="P91:P96" si="54">SUM(N91:O91)</f>
        <v>0</v>
      </c>
      <c r="Q91" s="83">
        <f>P91/20</f>
        <v>0</v>
      </c>
      <c r="R91" s="84">
        <f t="shared" si="49"/>
        <v>0</v>
      </c>
      <c r="S91" s="83">
        <f>R91/20</f>
        <v>0</v>
      </c>
      <c r="T91" s="125"/>
      <c r="U91" s="85"/>
      <c r="V91" s="85">
        <f>SUM(T91:U91)</f>
        <v>0</v>
      </c>
      <c r="W91" s="78">
        <f t="shared" si="40"/>
        <v>0</v>
      </c>
      <c r="X91" s="87">
        <f t="shared" si="41"/>
        <v>0</v>
      </c>
      <c r="Y91" s="88">
        <f t="shared" si="42"/>
        <v>0</v>
      </c>
      <c r="Z91" s="89">
        <f t="shared" si="43"/>
        <v>-5</v>
      </c>
      <c r="AA91" s="89">
        <f t="shared" si="44"/>
        <v>-5</v>
      </c>
      <c r="AB91" s="89">
        <f t="shared" si="26"/>
        <v>-5</v>
      </c>
      <c r="AC91" s="145">
        <v>5</v>
      </c>
      <c r="AD91" s="334" t="s">
        <v>38</v>
      </c>
      <c r="AE91" s="94" t="s">
        <v>38</v>
      </c>
      <c r="AF91" s="94" t="s">
        <v>38</v>
      </c>
      <c r="AG91" s="94" t="s">
        <v>38</v>
      </c>
      <c r="AH91" s="94" t="s">
        <v>38</v>
      </c>
      <c r="AI91" s="94" t="s">
        <v>38</v>
      </c>
      <c r="AJ91" s="328">
        <v>0</v>
      </c>
      <c r="AK91" s="328">
        <v>0</v>
      </c>
      <c r="AL91" s="328">
        <v>0</v>
      </c>
      <c r="AM91" s="328">
        <v>0</v>
      </c>
      <c r="AN91" s="328">
        <v>0</v>
      </c>
      <c r="AO91" s="146"/>
      <c r="AP91" s="63"/>
    </row>
    <row r="92" spans="1:42" ht="21.75" customHeight="1" x14ac:dyDescent="0.2">
      <c r="A92" s="127" t="s">
        <v>217</v>
      </c>
      <c r="B92" s="272" t="s">
        <v>36</v>
      </c>
      <c r="C92" s="158" t="s">
        <v>38</v>
      </c>
      <c r="D92" s="75" t="s">
        <v>38</v>
      </c>
      <c r="E92" s="75">
        <v>1</v>
      </c>
      <c r="F92" s="75" t="s">
        <v>38</v>
      </c>
      <c r="G92" s="76" t="s">
        <v>38</v>
      </c>
      <c r="H92" s="76" t="s">
        <v>38</v>
      </c>
      <c r="I92" s="76">
        <v>4</v>
      </c>
      <c r="J92" s="77">
        <v>3</v>
      </c>
      <c r="K92" s="78">
        <f t="shared" si="52"/>
        <v>8</v>
      </c>
      <c r="L92" s="79">
        <v>1</v>
      </c>
      <c r="M92" s="218">
        <f t="shared" si="53"/>
        <v>7</v>
      </c>
      <c r="N92" s="98"/>
      <c r="O92" s="98"/>
      <c r="P92" s="82">
        <f t="shared" si="54"/>
        <v>0</v>
      </c>
      <c r="Q92" s="83">
        <f>P92/8</f>
        <v>0</v>
      </c>
      <c r="R92" s="84">
        <f t="shared" si="49"/>
        <v>0</v>
      </c>
      <c r="S92" s="83">
        <f>R92/8</f>
        <v>0</v>
      </c>
      <c r="T92" s="125"/>
      <c r="U92" s="85"/>
      <c r="V92" s="85">
        <f t="shared" ref="V92:V99" si="55">SUM(T92:U92)</f>
        <v>0</v>
      </c>
      <c r="W92" s="78">
        <f t="shared" si="40"/>
        <v>0</v>
      </c>
      <c r="X92" s="87">
        <f t="shared" si="41"/>
        <v>0</v>
      </c>
      <c r="Y92" s="88">
        <f t="shared" si="42"/>
        <v>0</v>
      </c>
      <c r="Z92" s="89">
        <f t="shared" si="43"/>
        <v>-7</v>
      </c>
      <c r="AA92" s="89">
        <f t="shared" si="44"/>
        <v>-7</v>
      </c>
      <c r="AB92" s="89">
        <f t="shared" si="26"/>
        <v>-7</v>
      </c>
      <c r="AC92" s="145">
        <v>5</v>
      </c>
      <c r="AD92" s="334" t="s">
        <v>38</v>
      </c>
      <c r="AE92" s="94" t="s">
        <v>38</v>
      </c>
      <c r="AF92" s="94" t="s">
        <v>38</v>
      </c>
      <c r="AG92" s="94" t="s">
        <v>38</v>
      </c>
      <c r="AH92" s="94" t="s">
        <v>38</v>
      </c>
      <c r="AI92" s="94" t="s">
        <v>38</v>
      </c>
      <c r="AJ92" s="328">
        <v>0</v>
      </c>
      <c r="AK92" s="328">
        <v>0</v>
      </c>
      <c r="AL92" s="328">
        <v>0</v>
      </c>
      <c r="AM92" s="328">
        <v>0</v>
      </c>
      <c r="AN92" s="328">
        <v>0</v>
      </c>
      <c r="AO92" s="146"/>
      <c r="AP92" s="63"/>
    </row>
    <row r="93" spans="1:42" ht="21.75" customHeight="1" x14ac:dyDescent="0.2">
      <c r="A93" s="185" t="s">
        <v>218</v>
      </c>
      <c r="B93" s="272" t="s">
        <v>124</v>
      </c>
      <c r="C93" s="158" t="s">
        <v>38</v>
      </c>
      <c r="D93" s="75" t="s">
        <v>38</v>
      </c>
      <c r="E93" s="75">
        <v>1</v>
      </c>
      <c r="F93" s="75" t="s">
        <v>38</v>
      </c>
      <c r="G93" s="76" t="s">
        <v>38</v>
      </c>
      <c r="H93" s="76" t="s">
        <v>38</v>
      </c>
      <c r="I93" s="76" t="s">
        <v>38</v>
      </c>
      <c r="J93" s="77">
        <v>5</v>
      </c>
      <c r="K93" s="78">
        <f t="shared" si="52"/>
        <v>6</v>
      </c>
      <c r="L93" s="79">
        <v>0</v>
      </c>
      <c r="M93" s="218">
        <f t="shared" si="53"/>
        <v>6</v>
      </c>
      <c r="N93" s="98"/>
      <c r="O93" s="98"/>
      <c r="P93" s="82">
        <f t="shared" si="54"/>
        <v>0</v>
      </c>
      <c r="Q93" s="83">
        <f t="shared" ref="Q93:Q98" si="56">P93/20</f>
        <v>0</v>
      </c>
      <c r="R93" s="84">
        <f t="shared" si="49"/>
        <v>0</v>
      </c>
      <c r="S93" s="83">
        <f t="shared" ref="S93:S99" si="57">R93/20</f>
        <v>0</v>
      </c>
      <c r="T93" s="125"/>
      <c r="U93" s="85"/>
      <c r="V93" s="85">
        <f t="shared" si="55"/>
        <v>0</v>
      </c>
      <c r="W93" s="78">
        <f t="shared" si="40"/>
        <v>0</v>
      </c>
      <c r="X93" s="87">
        <f t="shared" si="41"/>
        <v>0</v>
      </c>
      <c r="Y93" s="88">
        <f t="shared" si="42"/>
        <v>0</v>
      </c>
      <c r="Z93" s="89">
        <f t="shared" si="43"/>
        <v>-6</v>
      </c>
      <c r="AA93" s="89">
        <f t="shared" si="44"/>
        <v>-6</v>
      </c>
      <c r="AB93" s="89">
        <f t="shared" si="26"/>
        <v>-6</v>
      </c>
      <c r="AC93" s="145">
        <v>5</v>
      </c>
      <c r="AD93" s="334" t="s">
        <v>38</v>
      </c>
      <c r="AE93" s="94" t="s">
        <v>38</v>
      </c>
      <c r="AF93" s="94" t="s">
        <v>38</v>
      </c>
      <c r="AG93" s="94" t="s">
        <v>38</v>
      </c>
      <c r="AH93" s="94" t="s">
        <v>38</v>
      </c>
      <c r="AI93" s="94" t="s">
        <v>38</v>
      </c>
      <c r="AJ93" s="328">
        <v>0</v>
      </c>
      <c r="AK93" s="328">
        <v>0</v>
      </c>
      <c r="AL93" s="328">
        <v>0</v>
      </c>
      <c r="AM93" s="328">
        <v>0</v>
      </c>
      <c r="AN93" s="328">
        <v>0</v>
      </c>
      <c r="AO93" s="146"/>
      <c r="AP93" s="63"/>
    </row>
    <row r="94" spans="1:42" ht="21.75" customHeight="1" x14ac:dyDescent="0.2">
      <c r="A94" s="185" t="s">
        <v>219</v>
      </c>
      <c r="B94" s="272" t="s">
        <v>124</v>
      </c>
      <c r="C94" s="158" t="s">
        <v>38</v>
      </c>
      <c r="D94" s="158" t="s">
        <v>38</v>
      </c>
      <c r="E94" s="158" t="s">
        <v>38</v>
      </c>
      <c r="F94" s="158">
        <v>1</v>
      </c>
      <c r="G94" s="76" t="s">
        <v>38</v>
      </c>
      <c r="H94" s="76" t="s">
        <v>38</v>
      </c>
      <c r="I94" s="76">
        <v>3</v>
      </c>
      <c r="J94" s="77">
        <v>3</v>
      </c>
      <c r="K94" s="78">
        <f t="shared" si="52"/>
        <v>7</v>
      </c>
      <c r="L94" s="79">
        <v>1</v>
      </c>
      <c r="M94" s="218">
        <f t="shared" si="53"/>
        <v>6</v>
      </c>
      <c r="N94" s="98"/>
      <c r="O94" s="98"/>
      <c r="P94" s="82">
        <f t="shared" si="54"/>
        <v>0</v>
      </c>
      <c r="Q94" s="83">
        <f t="shared" si="56"/>
        <v>0</v>
      </c>
      <c r="R94" s="84">
        <f t="shared" si="49"/>
        <v>0</v>
      </c>
      <c r="S94" s="83">
        <f t="shared" si="57"/>
        <v>0</v>
      </c>
      <c r="T94" s="103"/>
      <c r="U94" s="85"/>
      <c r="V94" s="85">
        <f t="shared" si="55"/>
        <v>0</v>
      </c>
      <c r="W94" s="78">
        <f t="shared" si="40"/>
        <v>0</v>
      </c>
      <c r="X94" s="87">
        <f t="shared" si="41"/>
        <v>0</v>
      </c>
      <c r="Y94" s="88">
        <f t="shared" si="42"/>
        <v>0</v>
      </c>
      <c r="Z94" s="89">
        <f t="shared" si="43"/>
        <v>-6</v>
      </c>
      <c r="AA94" s="89">
        <f t="shared" si="44"/>
        <v>-6</v>
      </c>
      <c r="AB94" s="89">
        <f t="shared" si="26"/>
        <v>-6</v>
      </c>
      <c r="AC94" s="145">
        <v>5</v>
      </c>
      <c r="AD94" s="334" t="s">
        <v>38</v>
      </c>
      <c r="AE94" s="94" t="s">
        <v>38</v>
      </c>
      <c r="AF94" s="94" t="s">
        <v>38</v>
      </c>
      <c r="AG94" s="94" t="s">
        <v>38</v>
      </c>
      <c r="AH94" s="94" t="s">
        <v>38</v>
      </c>
      <c r="AI94" s="94" t="s">
        <v>38</v>
      </c>
      <c r="AJ94" s="328">
        <v>0</v>
      </c>
      <c r="AK94" s="328">
        <v>0</v>
      </c>
      <c r="AL94" s="328">
        <v>0</v>
      </c>
      <c r="AM94" s="328">
        <v>0</v>
      </c>
      <c r="AN94" s="328">
        <v>0</v>
      </c>
      <c r="AO94" s="146"/>
      <c r="AP94" s="63"/>
    </row>
    <row r="95" spans="1:42" ht="21.75" customHeight="1" x14ac:dyDescent="0.2">
      <c r="A95" s="127" t="s">
        <v>220</v>
      </c>
      <c r="B95" s="272" t="s">
        <v>37</v>
      </c>
      <c r="C95" s="158" t="s">
        <v>38</v>
      </c>
      <c r="D95" s="75" t="s">
        <v>38</v>
      </c>
      <c r="E95" s="75">
        <v>1</v>
      </c>
      <c r="F95" s="75">
        <v>2</v>
      </c>
      <c r="G95" s="76" t="s">
        <v>38</v>
      </c>
      <c r="H95" s="76" t="s">
        <v>38</v>
      </c>
      <c r="I95" s="76">
        <v>1</v>
      </c>
      <c r="J95" s="77">
        <v>3</v>
      </c>
      <c r="K95" s="78">
        <f t="shared" si="52"/>
        <v>7</v>
      </c>
      <c r="L95" s="79">
        <v>0</v>
      </c>
      <c r="M95" s="218">
        <f t="shared" si="53"/>
        <v>7</v>
      </c>
      <c r="N95" s="98"/>
      <c r="O95" s="98"/>
      <c r="P95" s="82">
        <f t="shared" si="54"/>
        <v>0</v>
      </c>
      <c r="Q95" s="83">
        <f t="shared" si="56"/>
        <v>0</v>
      </c>
      <c r="R95" s="84">
        <f t="shared" si="49"/>
        <v>0</v>
      </c>
      <c r="S95" s="83">
        <f t="shared" si="57"/>
        <v>0</v>
      </c>
      <c r="T95" s="125"/>
      <c r="U95" s="85"/>
      <c r="V95" s="85">
        <f t="shared" si="55"/>
        <v>0</v>
      </c>
      <c r="W95" s="78">
        <f t="shared" si="40"/>
        <v>0</v>
      </c>
      <c r="X95" s="87">
        <f t="shared" si="41"/>
        <v>0</v>
      </c>
      <c r="Y95" s="88">
        <f t="shared" si="42"/>
        <v>0</v>
      </c>
      <c r="Z95" s="89">
        <f t="shared" si="43"/>
        <v>-7</v>
      </c>
      <c r="AA95" s="89">
        <f t="shared" si="44"/>
        <v>-7</v>
      </c>
      <c r="AB95" s="89">
        <f t="shared" si="26"/>
        <v>-7</v>
      </c>
      <c r="AC95" s="145">
        <v>5</v>
      </c>
      <c r="AD95" s="334" t="s">
        <v>38</v>
      </c>
      <c r="AE95" s="94" t="s">
        <v>38</v>
      </c>
      <c r="AF95" s="94" t="s">
        <v>38</v>
      </c>
      <c r="AG95" s="94" t="s">
        <v>38</v>
      </c>
      <c r="AH95" s="94" t="s">
        <v>38</v>
      </c>
      <c r="AI95" s="94" t="s">
        <v>38</v>
      </c>
      <c r="AJ95" s="328">
        <v>0</v>
      </c>
      <c r="AK95" s="328">
        <v>0</v>
      </c>
      <c r="AL95" s="328">
        <v>0</v>
      </c>
      <c r="AM95" s="328">
        <v>0</v>
      </c>
      <c r="AN95" s="328">
        <v>0</v>
      </c>
      <c r="AO95" s="146"/>
      <c r="AP95" s="63"/>
    </row>
    <row r="96" spans="1:42" ht="21.75" customHeight="1" x14ac:dyDescent="0.2">
      <c r="A96" s="127" t="s">
        <v>221</v>
      </c>
      <c r="B96" s="272" t="s">
        <v>34</v>
      </c>
      <c r="C96" s="158" t="s">
        <v>38</v>
      </c>
      <c r="D96" s="75" t="s">
        <v>38</v>
      </c>
      <c r="E96" s="75" t="s">
        <v>38</v>
      </c>
      <c r="F96" s="75">
        <v>0</v>
      </c>
      <c r="G96" s="76" t="s">
        <v>38</v>
      </c>
      <c r="H96" s="76" t="s">
        <v>38</v>
      </c>
      <c r="I96" s="76" t="s">
        <v>38</v>
      </c>
      <c r="J96" s="77">
        <v>5</v>
      </c>
      <c r="K96" s="78">
        <f t="shared" si="52"/>
        <v>5</v>
      </c>
      <c r="L96" s="79">
        <v>0</v>
      </c>
      <c r="M96" s="218">
        <f t="shared" si="53"/>
        <v>5</v>
      </c>
      <c r="N96" s="81"/>
      <c r="O96" s="81"/>
      <c r="P96" s="82">
        <f t="shared" si="54"/>
        <v>0</v>
      </c>
      <c r="Q96" s="83">
        <f t="shared" si="56"/>
        <v>0</v>
      </c>
      <c r="R96" s="84">
        <f t="shared" si="49"/>
        <v>0</v>
      </c>
      <c r="S96" s="83">
        <f t="shared" si="57"/>
        <v>0</v>
      </c>
      <c r="T96" s="125"/>
      <c r="U96" s="85"/>
      <c r="V96" s="85">
        <f t="shared" si="55"/>
        <v>0</v>
      </c>
      <c r="W96" s="78">
        <f t="shared" si="40"/>
        <v>0</v>
      </c>
      <c r="X96" s="87">
        <f t="shared" si="41"/>
        <v>0</v>
      </c>
      <c r="Y96" s="88">
        <f t="shared" si="42"/>
        <v>0</v>
      </c>
      <c r="Z96" s="89">
        <f t="shared" si="43"/>
        <v>-5</v>
      </c>
      <c r="AA96" s="89">
        <f t="shared" si="44"/>
        <v>-5</v>
      </c>
      <c r="AB96" s="89">
        <f t="shared" si="26"/>
        <v>-5</v>
      </c>
      <c r="AC96" s="145">
        <v>5</v>
      </c>
      <c r="AD96" s="334" t="s">
        <v>38</v>
      </c>
      <c r="AE96" s="94" t="s">
        <v>38</v>
      </c>
      <c r="AF96" s="94" t="s">
        <v>38</v>
      </c>
      <c r="AG96" s="94" t="s">
        <v>38</v>
      </c>
      <c r="AH96" s="94" t="s">
        <v>38</v>
      </c>
      <c r="AI96" s="94" t="s">
        <v>38</v>
      </c>
      <c r="AJ96" s="328">
        <v>0</v>
      </c>
      <c r="AK96" s="328">
        <v>0</v>
      </c>
      <c r="AL96" s="328">
        <v>0</v>
      </c>
      <c r="AM96" s="328">
        <v>0</v>
      </c>
      <c r="AN96" s="328">
        <v>0</v>
      </c>
      <c r="AO96" s="146"/>
      <c r="AP96" s="63"/>
    </row>
    <row r="97" spans="1:42" ht="21.75" customHeight="1" x14ac:dyDescent="0.2">
      <c r="A97" s="127" t="s">
        <v>222</v>
      </c>
      <c r="B97" s="272" t="s">
        <v>34</v>
      </c>
      <c r="C97" s="158" t="s">
        <v>38</v>
      </c>
      <c r="D97" s="75" t="s">
        <v>38</v>
      </c>
      <c r="E97" s="75" t="s">
        <v>38</v>
      </c>
      <c r="F97" s="75" t="s">
        <v>38</v>
      </c>
      <c r="G97" s="76" t="s">
        <v>38</v>
      </c>
      <c r="H97" s="76" t="s">
        <v>38</v>
      </c>
      <c r="I97" s="76">
        <v>1</v>
      </c>
      <c r="J97" s="77">
        <v>4</v>
      </c>
      <c r="K97" s="78">
        <f>SUM(C97:J97)</f>
        <v>5</v>
      </c>
      <c r="L97" s="79">
        <v>0</v>
      </c>
      <c r="M97" s="218">
        <f>K97-L97</f>
        <v>5</v>
      </c>
      <c r="N97" s="81"/>
      <c r="O97" s="81"/>
      <c r="P97" s="82">
        <f>SUM(N97:O97)</f>
        <v>0</v>
      </c>
      <c r="Q97" s="83">
        <f t="shared" si="56"/>
        <v>0</v>
      </c>
      <c r="R97" s="84">
        <f>(P97*0.05)+P97</f>
        <v>0</v>
      </c>
      <c r="S97" s="83">
        <f>R97/20</f>
        <v>0</v>
      </c>
      <c r="T97" s="125"/>
      <c r="U97" s="85"/>
      <c r="V97" s="85">
        <f t="shared" si="55"/>
        <v>0</v>
      </c>
      <c r="W97" s="78">
        <f>V97/2</f>
        <v>0</v>
      </c>
      <c r="X97" s="87">
        <f>V97/35</f>
        <v>0</v>
      </c>
      <c r="Y97" s="88">
        <f>W97/14</f>
        <v>0</v>
      </c>
      <c r="Z97" s="89">
        <f>Q97-M97</f>
        <v>-5</v>
      </c>
      <c r="AA97" s="89">
        <f>X97-M97</f>
        <v>-5</v>
      </c>
      <c r="AB97" s="89">
        <f>Y97-M97</f>
        <v>-5</v>
      </c>
      <c r="AC97" s="145">
        <v>5</v>
      </c>
      <c r="AD97" s="334" t="s">
        <v>38</v>
      </c>
      <c r="AE97" s="94" t="s">
        <v>38</v>
      </c>
      <c r="AF97" s="94" t="s">
        <v>38</v>
      </c>
      <c r="AG97" s="94" t="s">
        <v>38</v>
      </c>
      <c r="AH97" s="94" t="s">
        <v>38</v>
      </c>
      <c r="AI97" s="94" t="s">
        <v>38</v>
      </c>
      <c r="AJ97" s="328">
        <v>0</v>
      </c>
      <c r="AK97" s="328">
        <v>0</v>
      </c>
      <c r="AL97" s="328">
        <v>0</v>
      </c>
      <c r="AM97" s="328">
        <v>0</v>
      </c>
      <c r="AN97" s="328">
        <v>0</v>
      </c>
      <c r="AO97" s="146"/>
      <c r="AP97" s="63"/>
    </row>
    <row r="98" spans="1:42" ht="21.75" customHeight="1" x14ac:dyDescent="0.2">
      <c r="A98" s="127" t="s">
        <v>223</v>
      </c>
      <c r="B98" s="272" t="s">
        <v>37</v>
      </c>
      <c r="C98" s="158">
        <v>0</v>
      </c>
      <c r="D98" s="75">
        <v>0</v>
      </c>
      <c r="E98" s="75">
        <v>2</v>
      </c>
      <c r="F98" s="75">
        <v>0</v>
      </c>
      <c r="G98" s="76">
        <v>0</v>
      </c>
      <c r="H98" s="76">
        <v>0</v>
      </c>
      <c r="I98" s="76">
        <v>4</v>
      </c>
      <c r="J98" s="77">
        <v>3</v>
      </c>
      <c r="K98" s="78">
        <f>SUM(C98:J98)</f>
        <v>9</v>
      </c>
      <c r="L98" s="79">
        <v>0</v>
      </c>
      <c r="M98" s="218">
        <f>K98-L98</f>
        <v>9</v>
      </c>
      <c r="N98" s="81"/>
      <c r="O98" s="81"/>
      <c r="P98" s="82">
        <f>SUM(N98:O98)</f>
        <v>0</v>
      </c>
      <c r="Q98" s="83">
        <f t="shared" si="56"/>
        <v>0</v>
      </c>
      <c r="R98" s="84">
        <f>(P98*0.05)+P98</f>
        <v>0</v>
      </c>
      <c r="S98" s="83">
        <f>R98/20</f>
        <v>0</v>
      </c>
      <c r="T98" s="125"/>
      <c r="U98" s="85"/>
      <c r="V98" s="85">
        <f t="shared" si="55"/>
        <v>0</v>
      </c>
      <c r="W98" s="78">
        <f>V98/2</f>
        <v>0</v>
      </c>
      <c r="X98" s="87">
        <f>V98/35</f>
        <v>0</v>
      </c>
      <c r="Y98" s="88">
        <f>W98/14</f>
        <v>0</v>
      </c>
      <c r="Z98" s="89">
        <f>Q98-M98</f>
        <v>-9</v>
      </c>
      <c r="AA98" s="89">
        <f>X98-M98</f>
        <v>-9</v>
      </c>
      <c r="AB98" s="89">
        <f>Y98-M98</f>
        <v>-9</v>
      </c>
      <c r="AC98" s="145">
        <v>5</v>
      </c>
      <c r="AD98" s="334">
        <v>0</v>
      </c>
      <c r="AE98" s="220">
        <v>0</v>
      </c>
      <c r="AF98" s="220">
        <v>0</v>
      </c>
      <c r="AG98" s="220">
        <v>0</v>
      </c>
      <c r="AH98" s="220">
        <v>0</v>
      </c>
      <c r="AI98" s="220">
        <v>0</v>
      </c>
      <c r="AJ98" s="328">
        <v>0</v>
      </c>
      <c r="AK98" s="328">
        <v>0</v>
      </c>
      <c r="AL98" s="328">
        <v>0</v>
      </c>
      <c r="AM98" s="328">
        <v>0</v>
      </c>
      <c r="AN98" s="328">
        <v>0</v>
      </c>
      <c r="AO98" s="146"/>
      <c r="AP98" s="63"/>
    </row>
    <row r="99" spans="1:42" ht="21.75" customHeight="1" x14ac:dyDescent="0.2">
      <c r="A99" s="127" t="s">
        <v>247</v>
      </c>
      <c r="B99" s="272" t="s">
        <v>35</v>
      </c>
      <c r="C99" s="158" t="s">
        <v>38</v>
      </c>
      <c r="D99" s="75" t="s">
        <v>38</v>
      </c>
      <c r="E99" s="75" t="s">
        <v>38</v>
      </c>
      <c r="F99" s="75">
        <v>2</v>
      </c>
      <c r="G99" s="76" t="s">
        <v>38</v>
      </c>
      <c r="H99" s="76" t="s">
        <v>38</v>
      </c>
      <c r="I99" s="76">
        <v>1</v>
      </c>
      <c r="J99" s="77">
        <v>2</v>
      </c>
      <c r="K99" s="78">
        <f t="shared" si="52"/>
        <v>5</v>
      </c>
      <c r="L99" s="79">
        <v>0</v>
      </c>
      <c r="M99" s="218">
        <f t="shared" si="53"/>
        <v>5</v>
      </c>
      <c r="N99" s="98"/>
      <c r="O99" s="81"/>
      <c r="P99" s="82">
        <f>SUM(N99:O99)</f>
        <v>0</v>
      </c>
      <c r="Q99" s="83">
        <v>0</v>
      </c>
      <c r="R99" s="84">
        <v>35</v>
      </c>
      <c r="S99" s="83">
        <f t="shared" si="57"/>
        <v>1.75</v>
      </c>
      <c r="T99" s="125"/>
      <c r="U99" s="85"/>
      <c r="V99" s="85">
        <f t="shared" si="55"/>
        <v>0</v>
      </c>
      <c r="W99" s="78">
        <f t="shared" si="40"/>
        <v>0</v>
      </c>
      <c r="X99" s="87">
        <f t="shared" si="41"/>
        <v>0</v>
      </c>
      <c r="Y99" s="88">
        <f t="shared" si="42"/>
        <v>0</v>
      </c>
      <c r="Z99" s="89">
        <f t="shared" si="43"/>
        <v>-5</v>
      </c>
      <c r="AA99" s="89">
        <f t="shared" si="44"/>
        <v>-5</v>
      </c>
      <c r="AB99" s="89">
        <f t="shared" ref="AB99:AB107" si="58">Y99-M99</f>
        <v>-5</v>
      </c>
      <c r="AC99" s="145">
        <v>5</v>
      </c>
      <c r="AD99" s="334" t="s">
        <v>38</v>
      </c>
      <c r="AE99" s="94" t="s">
        <v>38</v>
      </c>
      <c r="AF99" s="94" t="s">
        <v>38</v>
      </c>
      <c r="AG99" s="94" t="s">
        <v>38</v>
      </c>
      <c r="AH99" s="94" t="s">
        <v>38</v>
      </c>
      <c r="AI99" s="94" t="s">
        <v>38</v>
      </c>
      <c r="AJ99" s="328">
        <v>0</v>
      </c>
      <c r="AK99" s="328">
        <v>0</v>
      </c>
      <c r="AL99" s="328">
        <v>0</v>
      </c>
      <c r="AM99" s="328">
        <v>0</v>
      </c>
      <c r="AN99" s="328">
        <v>0</v>
      </c>
      <c r="AO99" s="146"/>
      <c r="AP99" s="63"/>
    </row>
    <row r="100" spans="1:42" s="9" customFormat="1" ht="21.95" customHeight="1" x14ac:dyDescent="0.2">
      <c r="A100" s="64" t="s">
        <v>105</v>
      </c>
      <c r="B100" s="265"/>
      <c r="C100" s="122">
        <f>SUM(C102:C105)</f>
        <v>0</v>
      </c>
      <c r="D100" s="122">
        <f>SUM(D101:D105)</f>
        <v>2</v>
      </c>
      <c r="E100" s="122">
        <f t="shared" ref="E100:J100" si="59">SUM(E101:E105)</f>
        <v>1</v>
      </c>
      <c r="F100" s="122">
        <f t="shared" si="59"/>
        <v>0</v>
      </c>
      <c r="G100" s="122">
        <f t="shared" si="59"/>
        <v>0</v>
      </c>
      <c r="H100" s="122">
        <f t="shared" si="59"/>
        <v>0</v>
      </c>
      <c r="I100" s="122">
        <f t="shared" si="59"/>
        <v>4</v>
      </c>
      <c r="J100" s="122">
        <f t="shared" si="59"/>
        <v>16</v>
      </c>
      <c r="K100" s="122">
        <f>SUM(K101:K105)</f>
        <v>23</v>
      </c>
      <c r="L100" s="65">
        <f>SUM(L101:L105)</f>
        <v>3</v>
      </c>
      <c r="M100" s="65">
        <f>SUM(M101:M105)</f>
        <v>20</v>
      </c>
      <c r="N100" s="67">
        <f>SUM(N102:N105)</f>
        <v>0</v>
      </c>
      <c r="O100" s="67">
        <f>SUM(O101:O105)</f>
        <v>0</v>
      </c>
      <c r="P100" s="67">
        <f>SUM(P101:P105)</f>
        <v>0</v>
      </c>
      <c r="Q100" s="187">
        <f>SUM(Q101:Q105)</f>
        <v>0</v>
      </c>
      <c r="R100" s="152">
        <f t="shared" si="49"/>
        <v>0</v>
      </c>
      <c r="S100" s="187">
        <f>SUM(S101:S105)</f>
        <v>0</v>
      </c>
      <c r="T100" s="65">
        <f>SUM(T101:T105)</f>
        <v>0</v>
      </c>
      <c r="U100" s="65">
        <f>SUM(U101:U105)</f>
        <v>0</v>
      </c>
      <c r="V100" s="65">
        <f>SUM(V101:V105)</f>
        <v>0</v>
      </c>
      <c r="W100" s="65">
        <f t="shared" si="40"/>
        <v>0</v>
      </c>
      <c r="X100" s="155">
        <f t="shared" si="41"/>
        <v>0</v>
      </c>
      <c r="Y100" s="155">
        <f t="shared" si="42"/>
        <v>0</v>
      </c>
      <c r="Z100" s="187">
        <f>SUM(Z101:Z105)</f>
        <v>-20</v>
      </c>
      <c r="AA100" s="69">
        <f>SUM(AA101:AA105)</f>
        <v>-22</v>
      </c>
      <c r="AB100" s="69">
        <f t="shared" si="58"/>
        <v>-20</v>
      </c>
      <c r="AC100" s="66">
        <f t="shared" ref="AC100:AI100" si="60">SUM(AC101:AC105)</f>
        <v>21</v>
      </c>
      <c r="AD100" s="251">
        <f t="shared" si="60"/>
        <v>0</v>
      </c>
      <c r="AE100" s="65">
        <f t="shared" si="60"/>
        <v>0</v>
      </c>
      <c r="AF100" s="65">
        <f t="shared" si="60"/>
        <v>1</v>
      </c>
      <c r="AG100" s="65">
        <f t="shared" si="60"/>
        <v>0</v>
      </c>
      <c r="AH100" s="65">
        <f t="shared" si="60"/>
        <v>0</v>
      </c>
      <c r="AI100" s="65">
        <f t="shared" si="60"/>
        <v>0</v>
      </c>
      <c r="AJ100" s="251">
        <v>0</v>
      </c>
      <c r="AK100" s="251">
        <v>0</v>
      </c>
      <c r="AL100" s="251">
        <v>0</v>
      </c>
      <c r="AM100" s="251">
        <v>0</v>
      </c>
      <c r="AN100" s="251">
        <v>0</v>
      </c>
      <c r="AO100" s="71"/>
      <c r="AP100" s="72"/>
    </row>
    <row r="101" spans="1:42" s="10" customFormat="1" ht="21.75" customHeight="1" x14ac:dyDescent="0.2">
      <c r="A101" s="347" t="s">
        <v>106</v>
      </c>
      <c r="B101" s="262" t="s">
        <v>15</v>
      </c>
      <c r="C101" s="96" t="s">
        <v>38</v>
      </c>
      <c r="D101" s="96">
        <v>1</v>
      </c>
      <c r="E101" s="96" t="s">
        <v>38</v>
      </c>
      <c r="F101" s="96" t="s">
        <v>38</v>
      </c>
      <c r="G101" s="97" t="s">
        <v>38</v>
      </c>
      <c r="H101" s="97" t="s">
        <v>38</v>
      </c>
      <c r="I101" s="97">
        <v>1</v>
      </c>
      <c r="J101" s="97">
        <v>1</v>
      </c>
      <c r="K101" s="108">
        <f>SUM(C101:J101)</f>
        <v>3</v>
      </c>
      <c r="L101" s="144">
        <v>0</v>
      </c>
      <c r="M101" s="237">
        <f t="shared" ref="M101:M127" si="61">K101-L101</f>
        <v>3</v>
      </c>
      <c r="N101" s="98"/>
      <c r="O101" s="98"/>
      <c r="P101" s="82">
        <f t="shared" ref="P101:P108" si="62">N101+O101</f>
        <v>0</v>
      </c>
      <c r="Q101" s="134">
        <f>+O101/20</f>
        <v>0</v>
      </c>
      <c r="R101" s="84">
        <f t="shared" si="49"/>
        <v>0</v>
      </c>
      <c r="S101" s="135">
        <f>+Q101/20</f>
        <v>0</v>
      </c>
      <c r="T101" s="190"/>
      <c r="U101" s="86"/>
      <c r="V101" s="85">
        <f>SUM(T101:U101)</f>
        <v>0</v>
      </c>
      <c r="W101" s="78">
        <f t="shared" si="40"/>
        <v>0</v>
      </c>
      <c r="X101" s="87">
        <f t="shared" si="41"/>
        <v>0</v>
      </c>
      <c r="Y101" s="88">
        <f t="shared" si="42"/>
        <v>0</v>
      </c>
      <c r="Z101" s="100">
        <f>Q101-M101</f>
        <v>-3</v>
      </c>
      <c r="AA101" s="100">
        <f>X101-M101</f>
        <v>-3</v>
      </c>
      <c r="AB101" s="100">
        <f t="shared" si="58"/>
        <v>-3</v>
      </c>
      <c r="AC101" s="191">
        <v>3</v>
      </c>
      <c r="AD101" s="334" t="s">
        <v>38</v>
      </c>
      <c r="AE101" s="241" t="s">
        <v>38</v>
      </c>
      <c r="AF101" s="220" t="s">
        <v>38</v>
      </c>
      <c r="AG101" s="241" t="s">
        <v>38</v>
      </c>
      <c r="AH101" s="241" t="s">
        <v>38</v>
      </c>
      <c r="AI101" s="241" t="s">
        <v>38</v>
      </c>
      <c r="AJ101" s="330">
        <v>0</v>
      </c>
      <c r="AK101" s="330">
        <v>0</v>
      </c>
      <c r="AL101" s="330">
        <v>0</v>
      </c>
      <c r="AM101" s="330">
        <v>0</v>
      </c>
      <c r="AN101" s="330">
        <v>0</v>
      </c>
      <c r="AO101" s="94"/>
      <c r="AP101" s="63"/>
    </row>
    <row r="102" spans="1:42" s="7" customFormat="1" ht="21.75" customHeight="1" x14ac:dyDescent="0.2">
      <c r="A102" s="347"/>
      <c r="B102" s="263" t="s">
        <v>16</v>
      </c>
      <c r="C102" s="158" t="s">
        <v>38</v>
      </c>
      <c r="D102" s="158">
        <v>1</v>
      </c>
      <c r="E102" s="158">
        <v>0</v>
      </c>
      <c r="F102" s="158" t="s">
        <v>38</v>
      </c>
      <c r="G102" s="76" t="s">
        <v>38</v>
      </c>
      <c r="H102" s="76" t="s">
        <v>38</v>
      </c>
      <c r="I102" s="76" t="s">
        <v>38</v>
      </c>
      <c r="J102" s="76">
        <v>2</v>
      </c>
      <c r="K102" s="194">
        <f>SUM(C102:J102)</f>
        <v>3</v>
      </c>
      <c r="L102" s="144">
        <v>0</v>
      </c>
      <c r="M102" s="237">
        <f t="shared" si="61"/>
        <v>3</v>
      </c>
      <c r="N102" s="81"/>
      <c r="O102" s="81"/>
      <c r="P102" s="82">
        <f t="shared" si="62"/>
        <v>0</v>
      </c>
      <c r="Q102" s="134">
        <f>+O102/20</f>
        <v>0</v>
      </c>
      <c r="R102" s="84">
        <f t="shared" si="49"/>
        <v>0</v>
      </c>
      <c r="S102" s="135">
        <f>+Q102/20</f>
        <v>0</v>
      </c>
      <c r="T102" s="109"/>
      <c r="U102" s="195"/>
      <c r="V102" s="85">
        <f>SUM(T102:U102)</f>
        <v>0</v>
      </c>
      <c r="W102" s="78">
        <f t="shared" si="40"/>
        <v>0</v>
      </c>
      <c r="X102" s="87">
        <f t="shared" si="41"/>
        <v>0</v>
      </c>
      <c r="Y102" s="88">
        <f t="shared" si="42"/>
        <v>0</v>
      </c>
      <c r="Z102" s="89">
        <f>Q102-M102</f>
        <v>-3</v>
      </c>
      <c r="AA102" s="89">
        <f>X102-M102</f>
        <v>-3</v>
      </c>
      <c r="AB102" s="89">
        <f t="shared" si="58"/>
        <v>-3</v>
      </c>
      <c r="AC102" s="191">
        <v>3</v>
      </c>
      <c r="AD102" s="336">
        <f>S102/8</f>
        <v>0</v>
      </c>
      <c r="AE102" s="243" t="s">
        <v>38</v>
      </c>
      <c r="AF102" s="243">
        <v>1</v>
      </c>
      <c r="AG102" s="243" t="s">
        <v>38</v>
      </c>
      <c r="AH102" s="243" t="s">
        <v>38</v>
      </c>
      <c r="AI102" s="243" t="s">
        <v>38</v>
      </c>
      <c r="AJ102" s="330">
        <v>0</v>
      </c>
      <c r="AK102" s="330">
        <v>0</v>
      </c>
      <c r="AL102" s="330">
        <v>0</v>
      </c>
      <c r="AM102" s="330">
        <v>0</v>
      </c>
      <c r="AN102" s="330">
        <v>0</v>
      </c>
      <c r="AO102" s="94"/>
      <c r="AP102" s="95"/>
    </row>
    <row r="103" spans="1:42" s="7" customFormat="1" ht="21.75" customHeight="1" x14ac:dyDescent="0.2">
      <c r="A103" s="347"/>
      <c r="B103" s="263" t="s">
        <v>17</v>
      </c>
      <c r="C103" s="158" t="s">
        <v>38</v>
      </c>
      <c r="D103" s="158" t="s">
        <v>38</v>
      </c>
      <c r="E103" s="158">
        <v>1</v>
      </c>
      <c r="F103" s="158" t="s">
        <v>38</v>
      </c>
      <c r="G103" s="76" t="s">
        <v>38</v>
      </c>
      <c r="H103" s="76" t="s">
        <v>38</v>
      </c>
      <c r="I103" s="76">
        <v>2</v>
      </c>
      <c r="J103" s="76">
        <v>2</v>
      </c>
      <c r="K103" s="194">
        <f>SUM(D103:J103)</f>
        <v>5</v>
      </c>
      <c r="L103" s="144">
        <v>1</v>
      </c>
      <c r="M103" s="237">
        <f t="shared" si="61"/>
        <v>4</v>
      </c>
      <c r="N103" s="81"/>
      <c r="O103" s="81"/>
      <c r="P103" s="82">
        <f t="shared" si="62"/>
        <v>0</v>
      </c>
      <c r="Q103" s="134">
        <f>N103/20</f>
        <v>0</v>
      </c>
      <c r="R103" s="84">
        <f t="shared" si="49"/>
        <v>0</v>
      </c>
      <c r="S103" s="135">
        <f>P103/20</f>
        <v>0</v>
      </c>
      <c r="T103" s="103"/>
      <c r="U103" s="136"/>
      <c r="V103" s="85">
        <f>SUM(T103:U103)</f>
        <v>0</v>
      </c>
      <c r="W103" s="78">
        <f t="shared" si="40"/>
        <v>0</v>
      </c>
      <c r="X103" s="87">
        <f t="shared" si="41"/>
        <v>0</v>
      </c>
      <c r="Y103" s="88">
        <f t="shared" si="42"/>
        <v>0</v>
      </c>
      <c r="Z103" s="89">
        <f>Q103-M103</f>
        <v>-4</v>
      </c>
      <c r="AA103" s="89">
        <f>X103-M103</f>
        <v>-4</v>
      </c>
      <c r="AB103" s="89">
        <f t="shared" si="58"/>
        <v>-4</v>
      </c>
      <c r="AC103" s="191">
        <v>5</v>
      </c>
      <c r="AD103" s="336">
        <f>S103/8</f>
        <v>0</v>
      </c>
      <c r="AE103" s="243" t="s">
        <v>38</v>
      </c>
      <c r="AF103" s="244">
        <v>0</v>
      </c>
      <c r="AG103" s="243" t="s">
        <v>38</v>
      </c>
      <c r="AH103" s="243" t="s">
        <v>38</v>
      </c>
      <c r="AI103" s="243" t="s">
        <v>38</v>
      </c>
      <c r="AJ103" s="330">
        <v>0</v>
      </c>
      <c r="AK103" s="330">
        <v>0</v>
      </c>
      <c r="AL103" s="330">
        <v>0</v>
      </c>
      <c r="AM103" s="330">
        <v>0</v>
      </c>
      <c r="AN103" s="330">
        <v>0</v>
      </c>
      <c r="AO103" s="94"/>
      <c r="AP103" s="95"/>
    </row>
    <row r="104" spans="1:42" s="7" customFormat="1" ht="24" x14ac:dyDescent="0.2">
      <c r="A104" s="198" t="s">
        <v>107</v>
      </c>
      <c r="B104" s="263" t="s">
        <v>27</v>
      </c>
      <c r="C104" s="199" t="s">
        <v>38</v>
      </c>
      <c r="D104" s="199" t="s">
        <v>38</v>
      </c>
      <c r="E104" s="199" t="s">
        <v>38</v>
      </c>
      <c r="F104" s="199" t="s">
        <v>38</v>
      </c>
      <c r="G104" s="97" t="s">
        <v>38</v>
      </c>
      <c r="H104" s="97" t="s">
        <v>38</v>
      </c>
      <c r="I104" s="97">
        <v>0</v>
      </c>
      <c r="J104" s="97">
        <v>6</v>
      </c>
      <c r="K104" s="126">
        <f>SUM(D104:J104)</f>
        <v>6</v>
      </c>
      <c r="L104" s="79">
        <v>2</v>
      </c>
      <c r="M104" s="218">
        <f t="shared" si="61"/>
        <v>4</v>
      </c>
      <c r="N104" s="81"/>
      <c r="O104" s="81"/>
      <c r="P104" s="82">
        <f t="shared" si="62"/>
        <v>0</v>
      </c>
      <c r="Q104" s="83">
        <f>+P104/20</f>
        <v>0</v>
      </c>
      <c r="R104" s="84">
        <f t="shared" si="49"/>
        <v>0</v>
      </c>
      <c r="S104" s="83">
        <f>+R104/20</f>
        <v>0</v>
      </c>
      <c r="T104" s="125"/>
      <c r="U104" s="85"/>
      <c r="V104" s="85">
        <f>SUM(T104:U104)</f>
        <v>0</v>
      </c>
      <c r="W104" s="78">
        <f t="shared" si="40"/>
        <v>0</v>
      </c>
      <c r="X104" s="87">
        <f t="shared" si="41"/>
        <v>0</v>
      </c>
      <c r="Y104" s="88">
        <f t="shared" si="42"/>
        <v>0</v>
      </c>
      <c r="Z104" s="89">
        <f>Q104-M104</f>
        <v>-4</v>
      </c>
      <c r="AA104" s="89">
        <f>X104-K104</f>
        <v>-6</v>
      </c>
      <c r="AB104" s="89">
        <f t="shared" si="58"/>
        <v>-4</v>
      </c>
      <c r="AC104" s="90">
        <v>5</v>
      </c>
      <c r="AD104" s="336">
        <f>S104/8</f>
        <v>0</v>
      </c>
      <c r="AE104" s="126" t="s">
        <v>38</v>
      </c>
      <c r="AF104" s="126" t="s">
        <v>38</v>
      </c>
      <c r="AG104" s="126" t="s">
        <v>38</v>
      </c>
      <c r="AH104" s="126" t="s">
        <v>38</v>
      </c>
      <c r="AI104" s="126" t="s">
        <v>38</v>
      </c>
      <c r="AJ104" s="326">
        <v>0</v>
      </c>
      <c r="AK104" s="326">
        <v>0</v>
      </c>
      <c r="AL104" s="326">
        <v>0</v>
      </c>
      <c r="AM104" s="326">
        <v>0</v>
      </c>
      <c r="AN104" s="326">
        <v>0</v>
      </c>
      <c r="AO104" s="94"/>
      <c r="AP104" s="95"/>
    </row>
    <row r="105" spans="1:42" s="7" customFormat="1" ht="21.95" customHeight="1" x14ac:dyDescent="0.2">
      <c r="A105" s="198" t="s">
        <v>108</v>
      </c>
      <c r="B105" s="263" t="s">
        <v>27</v>
      </c>
      <c r="C105" s="199" t="s">
        <v>38</v>
      </c>
      <c r="D105" s="199" t="s">
        <v>38</v>
      </c>
      <c r="E105" s="199" t="s">
        <v>38</v>
      </c>
      <c r="F105" s="199" t="s">
        <v>38</v>
      </c>
      <c r="G105" s="97" t="s">
        <v>38</v>
      </c>
      <c r="H105" s="97">
        <v>0</v>
      </c>
      <c r="I105" s="97">
        <v>1</v>
      </c>
      <c r="J105" s="97">
        <v>5</v>
      </c>
      <c r="K105" s="126">
        <f>SUM(D105:J105)</f>
        <v>6</v>
      </c>
      <c r="L105" s="79">
        <v>0</v>
      </c>
      <c r="M105" s="218">
        <f t="shared" si="61"/>
        <v>6</v>
      </c>
      <c r="N105" s="81"/>
      <c r="O105" s="81"/>
      <c r="P105" s="82">
        <f t="shared" si="62"/>
        <v>0</v>
      </c>
      <c r="Q105" s="83">
        <f>+P105/20</f>
        <v>0</v>
      </c>
      <c r="R105" s="84">
        <f t="shared" si="49"/>
        <v>0</v>
      </c>
      <c r="S105" s="83">
        <f>+R105/20</f>
        <v>0</v>
      </c>
      <c r="T105" s="125"/>
      <c r="U105" s="85"/>
      <c r="V105" s="85">
        <f>SUM(T105:U105)</f>
        <v>0</v>
      </c>
      <c r="W105" s="78">
        <f t="shared" si="40"/>
        <v>0</v>
      </c>
      <c r="X105" s="87">
        <f t="shared" si="41"/>
        <v>0</v>
      </c>
      <c r="Y105" s="88">
        <f t="shared" si="42"/>
        <v>0</v>
      </c>
      <c r="Z105" s="89">
        <f>Q105-M105</f>
        <v>-6</v>
      </c>
      <c r="AA105" s="89">
        <f>X105-K105</f>
        <v>-6</v>
      </c>
      <c r="AB105" s="89">
        <f t="shared" si="58"/>
        <v>-6</v>
      </c>
      <c r="AC105" s="90">
        <v>5</v>
      </c>
      <c r="AD105" s="336">
        <f>S105/8</f>
        <v>0</v>
      </c>
      <c r="AE105" s="126" t="s">
        <v>38</v>
      </c>
      <c r="AF105" s="126" t="s">
        <v>38</v>
      </c>
      <c r="AG105" s="126" t="s">
        <v>38</v>
      </c>
      <c r="AH105" s="126" t="s">
        <v>38</v>
      </c>
      <c r="AI105" s="126" t="s">
        <v>38</v>
      </c>
      <c r="AJ105" s="326">
        <v>0</v>
      </c>
      <c r="AK105" s="326">
        <v>0</v>
      </c>
      <c r="AL105" s="326">
        <v>0</v>
      </c>
      <c r="AM105" s="326">
        <v>0</v>
      </c>
      <c r="AN105" s="326">
        <v>0</v>
      </c>
      <c r="AO105" s="94"/>
      <c r="AP105" s="95"/>
    </row>
    <row r="106" spans="1:42" s="18" customFormat="1" ht="21.75" customHeight="1" x14ac:dyDescent="0.2">
      <c r="A106" s="201" t="s">
        <v>109</v>
      </c>
      <c r="B106" s="273"/>
      <c r="C106" s="149">
        <f t="shared" ref="C106:AI106" si="63">SUM(C107:C107)</f>
        <v>0</v>
      </c>
      <c r="D106" s="149">
        <f t="shared" si="63"/>
        <v>0</v>
      </c>
      <c r="E106" s="149">
        <f t="shared" si="63"/>
        <v>0</v>
      </c>
      <c r="F106" s="149">
        <f t="shared" si="63"/>
        <v>0</v>
      </c>
      <c r="G106" s="149">
        <f t="shared" si="63"/>
        <v>0</v>
      </c>
      <c r="H106" s="149">
        <f t="shared" si="63"/>
        <v>0</v>
      </c>
      <c r="I106" s="149">
        <f t="shared" si="63"/>
        <v>1</v>
      </c>
      <c r="J106" s="149">
        <f t="shared" si="63"/>
        <v>5</v>
      </c>
      <c r="K106" s="149">
        <f t="shared" si="63"/>
        <v>6</v>
      </c>
      <c r="L106" s="149">
        <f t="shared" si="63"/>
        <v>0</v>
      </c>
      <c r="M106" s="149">
        <f t="shared" si="63"/>
        <v>6</v>
      </c>
      <c r="N106" s="149">
        <f t="shared" si="63"/>
        <v>0</v>
      </c>
      <c r="O106" s="149">
        <f t="shared" si="63"/>
        <v>0</v>
      </c>
      <c r="P106" s="149">
        <f t="shared" si="63"/>
        <v>0</v>
      </c>
      <c r="Q106" s="149">
        <f t="shared" si="63"/>
        <v>0</v>
      </c>
      <c r="R106" s="149">
        <f t="shared" si="63"/>
        <v>72</v>
      </c>
      <c r="S106" s="149">
        <f t="shared" si="63"/>
        <v>9</v>
      </c>
      <c r="T106" s="149">
        <f t="shared" si="63"/>
        <v>0</v>
      </c>
      <c r="U106" s="149">
        <f t="shared" si="63"/>
        <v>0</v>
      </c>
      <c r="V106" s="149">
        <f t="shared" si="63"/>
        <v>0</v>
      </c>
      <c r="W106" s="149">
        <f t="shared" si="63"/>
        <v>0</v>
      </c>
      <c r="X106" s="149">
        <f t="shared" si="63"/>
        <v>0</v>
      </c>
      <c r="Y106" s="149">
        <f t="shared" si="63"/>
        <v>0</v>
      </c>
      <c r="Z106" s="233">
        <f t="shared" si="63"/>
        <v>-6</v>
      </c>
      <c r="AA106" s="233">
        <f t="shared" si="63"/>
        <v>-6</v>
      </c>
      <c r="AB106" s="233">
        <f t="shared" si="63"/>
        <v>-6</v>
      </c>
      <c r="AC106" s="202">
        <f t="shared" si="63"/>
        <v>5</v>
      </c>
      <c r="AD106" s="235">
        <f t="shared" si="63"/>
        <v>0</v>
      </c>
      <c r="AE106" s="203">
        <f t="shared" si="63"/>
        <v>0</v>
      </c>
      <c r="AF106" s="203">
        <f t="shared" si="63"/>
        <v>0</v>
      </c>
      <c r="AG106" s="203">
        <f t="shared" si="63"/>
        <v>0</v>
      </c>
      <c r="AH106" s="203">
        <f t="shared" si="63"/>
        <v>0</v>
      </c>
      <c r="AI106" s="203">
        <f t="shared" si="63"/>
        <v>0</v>
      </c>
      <c r="AJ106" s="331">
        <v>0</v>
      </c>
      <c r="AK106" s="331">
        <v>0</v>
      </c>
      <c r="AL106" s="331">
        <v>0</v>
      </c>
      <c r="AM106" s="331">
        <v>0</v>
      </c>
      <c r="AN106" s="331">
        <v>0</v>
      </c>
      <c r="AO106" s="156"/>
      <c r="AP106" s="72"/>
    </row>
    <row r="107" spans="1:42" ht="21.75" customHeight="1" x14ac:dyDescent="0.2">
      <c r="A107" s="127" t="s">
        <v>215</v>
      </c>
      <c r="B107" s="272" t="s">
        <v>141</v>
      </c>
      <c r="C107" s="75" t="s">
        <v>38</v>
      </c>
      <c r="D107" s="75" t="s">
        <v>38</v>
      </c>
      <c r="E107" s="75" t="s">
        <v>38</v>
      </c>
      <c r="F107" s="75" t="s">
        <v>38</v>
      </c>
      <c r="G107" s="76" t="s">
        <v>38</v>
      </c>
      <c r="H107" s="76" t="s">
        <v>38</v>
      </c>
      <c r="I107" s="76">
        <v>1</v>
      </c>
      <c r="J107" s="77">
        <v>5</v>
      </c>
      <c r="K107" s="171">
        <v>6</v>
      </c>
      <c r="L107" s="79">
        <v>0</v>
      </c>
      <c r="M107" s="218">
        <f t="shared" si="61"/>
        <v>6</v>
      </c>
      <c r="N107" s="81">
        <v>0</v>
      </c>
      <c r="O107" s="81">
        <v>0</v>
      </c>
      <c r="P107" s="82">
        <f t="shared" si="62"/>
        <v>0</v>
      </c>
      <c r="Q107" s="83">
        <f>+P107/20</f>
        <v>0</v>
      </c>
      <c r="R107" s="84">
        <v>72</v>
      </c>
      <c r="S107" s="83">
        <f>+R107/8</f>
        <v>9</v>
      </c>
      <c r="T107" s="85"/>
      <c r="U107" s="85">
        <v>0</v>
      </c>
      <c r="V107" s="85">
        <f>SUM(T107:U107)</f>
        <v>0</v>
      </c>
      <c r="W107" s="78">
        <f t="shared" si="40"/>
        <v>0</v>
      </c>
      <c r="X107" s="87">
        <f t="shared" si="41"/>
        <v>0</v>
      </c>
      <c r="Y107" s="88">
        <f t="shared" si="42"/>
        <v>0</v>
      </c>
      <c r="Z107" s="89">
        <f>Q107-M107</f>
        <v>-6</v>
      </c>
      <c r="AA107" s="89">
        <f>X107-M107</f>
        <v>-6</v>
      </c>
      <c r="AB107" s="89">
        <f t="shared" si="58"/>
        <v>-6</v>
      </c>
      <c r="AC107" s="145">
        <v>5</v>
      </c>
      <c r="AD107" s="336">
        <v>0</v>
      </c>
      <c r="AE107" s="206" t="s">
        <v>38</v>
      </c>
      <c r="AF107" s="206" t="s">
        <v>38</v>
      </c>
      <c r="AG107" s="206" t="s">
        <v>38</v>
      </c>
      <c r="AH107" s="206" t="s">
        <v>38</v>
      </c>
      <c r="AI107" s="206" t="s">
        <v>38</v>
      </c>
      <c r="AJ107" s="332">
        <v>0</v>
      </c>
      <c r="AK107" s="332">
        <v>0</v>
      </c>
      <c r="AL107" s="332">
        <v>0</v>
      </c>
      <c r="AM107" s="332">
        <v>0</v>
      </c>
      <c r="AN107" s="332">
        <v>0</v>
      </c>
      <c r="AO107" s="146"/>
      <c r="AP107" s="63"/>
    </row>
    <row r="108" spans="1:42" s="18" customFormat="1" ht="21.75" customHeight="1" x14ac:dyDescent="0.2">
      <c r="A108" s="209" t="s">
        <v>164</v>
      </c>
      <c r="B108" s="274"/>
      <c r="C108" s="149"/>
      <c r="D108" s="149">
        <f>SUM(D109:D120)</f>
        <v>0</v>
      </c>
      <c r="E108" s="149">
        <f t="shared" ref="E108:L108" si="64">SUM(E109:E120)</f>
        <v>0</v>
      </c>
      <c r="F108" s="149">
        <f t="shared" si="64"/>
        <v>0</v>
      </c>
      <c r="G108" s="149">
        <f t="shared" si="64"/>
        <v>0</v>
      </c>
      <c r="H108" s="149">
        <f t="shared" si="64"/>
        <v>0</v>
      </c>
      <c r="I108" s="149">
        <f t="shared" si="64"/>
        <v>0</v>
      </c>
      <c r="J108" s="149">
        <f t="shared" si="64"/>
        <v>52</v>
      </c>
      <c r="K108" s="149">
        <f t="shared" si="64"/>
        <v>52</v>
      </c>
      <c r="L108" s="149">
        <f t="shared" si="64"/>
        <v>0</v>
      </c>
      <c r="M108" s="65">
        <f t="shared" si="61"/>
        <v>52</v>
      </c>
      <c r="N108" s="150">
        <v>0</v>
      </c>
      <c r="O108" s="150">
        <v>0</v>
      </c>
      <c r="P108" s="150">
        <f t="shared" si="62"/>
        <v>0</v>
      </c>
      <c r="Q108" s="153">
        <v>0</v>
      </c>
      <c r="R108" s="153">
        <v>0</v>
      </c>
      <c r="S108" s="153">
        <f>+R108/8</f>
        <v>0</v>
      </c>
      <c r="T108" s="153">
        <v>0</v>
      </c>
      <c r="U108" s="153">
        <v>0</v>
      </c>
      <c r="V108" s="153">
        <f>SUM(T108:U108)</f>
        <v>0</v>
      </c>
      <c r="W108" s="65">
        <v>0</v>
      </c>
      <c r="X108" s="155">
        <v>0</v>
      </c>
      <c r="Y108" s="155">
        <v>0</v>
      </c>
      <c r="Z108" s="70">
        <f>Q108-M108</f>
        <v>-52</v>
      </c>
      <c r="AA108" s="70">
        <f t="shared" ref="AA108:AA120" si="65">X108-M108</f>
        <v>-52</v>
      </c>
      <c r="AB108" s="65">
        <v>0</v>
      </c>
      <c r="AC108" s="122">
        <v>0</v>
      </c>
      <c r="AD108" s="251">
        <v>0</v>
      </c>
      <c r="AE108" s="155">
        <v>0</v>
      </c>
      <c r="AF108" s="155">
        <v>0</v>
      </c>
      <c r="AG108" s="155">
        <v>0</v>
      </c>
      <c r="AH108" s="155">
        <v>0</v>
      </c>
      <c r="AI108" s="155">
        <v>0</v>
      </c>
      <c r="AJ108" s="329">
        <v>0</v>
      </c>
      <c r="AK108" s="329">
        <v>0</v>
      </c>
      <c r="AL108" s="329">
        <v>0</v>
      </c>
      <c r="AM108" s="329">
        <v>0</v>
      </c>
      <c r="AN108" s="329">
        <v>0</v>
      </c>
      <c r="AO108" s="156"/>
      <c r="AP108" s="72"/>
    </row>
    <row r="109" spans="1:42" ht="21.75" customHeight="1" x14ac:dyDescent="0.2">
      <c r="A109" s="127" t="s">
        <v>169</v>
      </c>
      <c r="B109" s="272"/>
      <c r="C109" s="75" t="s">
        <v>38</v>
      </c>
      <c r="D109" s="75" t="s">
        <v>38</v>
      </c>
      <c r="E109" s="75" t="s">
        <v>38</v>
      </c>
      <c r="F109" s="75" t="s">
        <v>38</v>
      </c>
      <c r="G109" s="76" t="s">
        <v>38</v>
      </c>
      <c r="H109" s="76" t="s">
        <v>38</v>
      </c>
      <c r="I109" s="76" t="s">
        <v>38</v>
      </c>
      <c r="J109" s="77">
        <v>5</v>
      </c>
      <c r="K109" s="171">
        <f>SUM(C109:J109)</f>
        <v>5</v>
      </c>
      <c r="L109" s="79">
        <v>0</v>
      </c>
      <c r="M109" s="218">
        <f t="shared" si="61"/>
        <v>5</v>
      </c>
      <c r="N109" s="81" t="s">
        <v>38</v>
      </c>
      <c r="O109" s="81" t="s">
        <v>38</v>
      </c>
      <c r="P109" s="82" t="s">
        <v>38</v>
      </c>
      <c r="Q109" s="113" t="s">
        <v>38</v>
      </c>
      <c r="R109" s="114" t="s">
        <v>38</v>
      </c>
      <c r="S109" s="113" t="s">
        <v>38</v>
      </c>
      <c r="T109" s="85"/>
      <c r="U109" s="85"/>
      <c r="V109" s="85">
        <f>SUM(T109:U109)</f>
        <v>0</v>
      </c>
      <c r="W109" s="78" t="s">
        <v>38</v>
      </c>
      <c r="X109" s="210">
        <f>V109/18</f>
        <v>0</v>
      </c>
      <c r="Y109" s="88">
        <v>0</v>
      </c>
      <c r="Z109" s="126">
        <v>0</v>
      </c>
      <c r="AA109" s="89">
        <f t="shared" si="65"/>
        <v>-5</v>
      </c>
      <c r="AB109" s="126">
        <v>0</v>
      </c>
      <c r="AC109" s="211">
        <v>0</v>
      </c>
      <c r="AD109" s="334" t="s">
        <v>38</v>
      </c>
      <c r="AE109" s="94" t="s">
        <v>38</v>
      </c>
      <c r="AF109" s="94" t="s">
        <v>38</v>
      </c>
      <c r="AG109" s="94" t="s">
        <v>38</v>
      </c>
      <c r="AH109" s="94" t="s">
        <v>38</v>
      </c>
      <c r="AI109" s="94" t="s">
        <v>38</v>
      </c>
      <c r="AJ109" s="328">
        <v>0</v>
      </c>
      <c r="AK109" s="328">
        <v>0</v>
      </c>
      <c r="AL109" s="328">
        <v>0</v>
      </c>
      <c r="AM109" s="328">
        <v>0</v>
      </c>
      <c r="AN109" s="328">
        <v>0</v>
      </c>
      <c r="AO109" s="146"/>
      <c r="AP109" s="63"/>
    </row>
    <row r="110" spans="1:42" ht="21.75" customHeight="1" x14ac:dyDescent="0.2">
      <c r="A110" s="127" t="s">
        <v>170</v>
      </c>
      <c r="B110" s="272"/>
      <c r="C110" s="75" t="s">
        <v>38</v>
      </c>
      <c r="D110" s="75" t="s">
        <v>38</v>
      </c>
      <c r="E110" s="75" t="s">
        <v>38</v>
      </c>
      <c r="F110" s="75" t="s">
        <v>38</v>
      </c>
      <c r="G110" s="76" t="s">
        <v>38</v>
      </c>
      <c r="H110" s="76" t="s">
        <v>38</v>
      </c>
      <c r="I110" s="76" t="s">
        <v>38</v>
      </c>
      <c r="J110" s="77">
        <v>5</v>
      </c>
      <c r="K110" s="171">
        <f t="shared" ref="K110:K120" si="66">SUM(C110:J110)</f>
        <v>5</v>
      </c>
      <c r="L110" s="79">
        <v>0</v>
      </c>
      <c r="M110" s="218">
        <f t="shared" si="61"/>
        <v>5</v>
      </c>
      <c r="N110" s="81" t="s">
        <v>38</v>
      </c>
      <c r="O110" s="81" t="s">
        <v>38</v>
      </c>
      <c r="P110" s="82" t="s">
        <v>38</v>
      </c>
      <c r="Q110" s="113" t="s">
        <v>38</v>
      </c>
      <c r="R110" s="114" t="s">
        <v>38</v>
      </c>
      <c r="S110" s="113" t="s">
        <v>38</v>
      </c>
      <c r="T110" s="85"/>
      <c r="U110" s="85"/>
      <c r="V110" s="85">
        <f t="shared" ref="V110:V120" si="67">SUM(T110:U110)</f>
        <v>0</v>
      </c>
      <c r="W110" s="78" t="s">
        <v>38</v>
      </c>
      <c r="X110" s="210">
        <f t="shared" ref="X110:X120" si="68">V110/18</f>
        <v>0</v>
      </c>
      <c r="Y110" s="88">
        <v>0</v>
      </c>
      <c r="Z110" s="126">
        <v>0</v>
      </c>
      <c r="AA110" s="89">
        <f t="shared" si="65"/>
        <v>-5</v>
      </c>
      <c r="AB110" s="126">
        <v>0</v>
      </c>
      <c r="AC110" s="211">
        <v>0</v>
      </c>
      <c r="AD110" s="334" t="s">
        <v>38</v>
      </c>
      <c r="AE110" s="94" t="s">
        <v>38</v>
      </c>
      <c r="AF110" s="94" t="s">
        <v>38</v>
      </c>
      <c r="AG110" s="94" t="s">
        <v>38</v>
      </c>
      <c r="AH110" s="94" t="s">
        <v>38</v>
      </c>
      <c r="AI110" s="94" t="s">
        <v>38</v>
      </c>
      <c r="AJ110" s="328">
        <v>0</v>
      </c>
      <c r="AK110" s="328">
        <v>0</v>
      </c>
      <c r="AL110" s="328">
        <v>0</v>
      </c>
      <c r="AM110" s="328">
        <v>0</v>
      </c>
      <c r="AN110" s="328">
        <v>0</v>
      </c>
      <c r="AO110" s="146"/>
      <c r="AP110" s="63"/>
    </row>
    <row r="111" spans="1:42" ht="21.75" customHeight="1" x14ac:dyDescent="0.2">
      <c r="A111" s="127" t="s">
        <v>171</v>
      </c>
      <c r="B111" s="272"/>
      <c r="C111" s="75" t="s">
        <v>38</v>
      </c>
      <c r="D111" s="75" t="s">
        <v>38</v>
      </c>
      <c r="E111" s="75" t="s">
        <v>38</v>
      </c>
      <c r="F111" s="75" t="s">
        <v>38</v>
      </c>
      <c r="G111" s="76" t="s">
        <v>38</v>
      </c>
      <c r="H111" s="76" t="s">
        <v>38</v>
      </c>
      <c r="I111" s="76" t="s">
        <v>38</v>
      </c>
      <c r="J111" s="77">
        <v>3</v>
      </c>
      <c r="K111" s="171">
        <f t="shared" si="66"/>
        <v>3</v>
      </c>
      <c r="L111" s="79">
        <v>0</v>
      </c>
      <c r="M111" s="218">
        <f t="shared" si="61"/>
        <v>3</v>
      </c>
      <c r="N111" s="81" t="s">
        <v>38</v>
      </c>
      <c r="O111" s="81" t="s">
        <v>38</v>
      </c>
      <c r="P111" s="82" t="s">
        <v>38</v>
      </c>
      <c r="Q111" s="113" t="s">
        <v>38</v>
      </c>
      <c r="R111" s="114" t="s">
        <v>38</v>
      </c>
      <c r="S111" s="113" t="s">
        <v>38</v>
      </c>
      <c r="T111" s="85"/>
      <c r="U111" s="85"/>
      <c r="V111" s="85">
        <f t="shared" si="67"/>
        <v>0</v>
      </c>
      <c r="W111" s="78" t="s">
        <v>38</v>
      </c>
      <c r="X111" s="210">
        <f t="shared" si="68"/>
        <v>0</v>
      </c>
      <c r="Y111" s="88">
        <v>0</v>
      </c>
      <c r="Z111" s="126">
        <v>0</v>
      </c>
      <c r="AA111" s="89">
        <f t="shared" si="65"/>
        <v>-3</v>
      </c>
      <c r="AB111" s="126">
        <v>0</v>
      </c>
      <c r="AC111" s="211">
        <v>0</v>
      </c>
      <c r="AD111" s="334" t="s">
        <v>38</v>
      </c>
      <c r="AE111" s="94" t="s">
        <v>38</v>
      </c>
      <c r="AF111" s="94" t="s">
        <v>38</v>
      </c>
      <c r="AG111" s="94" t="s">
        <v>38</v>
      </c>
      <c r="AH111" s="94" t="s">
        <v>38</v>
      </c>
      <c r="AI111" s="94" t="s">
        <v>38</v>
      </c>
      <c r="AJ111" s="328">
        <v>0</v>
      </c>
      <c r="AK111" s="328">
        <v>0</v>
      </c>
      <c r="AL111" s="328">
        <v>0</v>
      </c>
      <c r="AM111" s="328">
        <v>0</v>
      </c>
      <c r="AN111" s="328">
        <v>0</v>
      </c>
      <c r="AO111" s="146"/>
      <c r="AP111" s="63"/>
    </row>
    <row r="112" spans="1:42" ht="21.75" customHeight="1" x14ac:dyDescent="0.2">
      <c r="A112" s="127" t="s">
        <v>172</v>
      </c>
      <c r="B112" s="272"/>
      <c r="C112" s="75" t="s">
        <v>38</v>
      </c>
      <c r="D112" s="75" t="s">
        <v>38</v>
      </c>
      <c r="E112" s="75" t="s">
        <v>38</v>
      </c>
      <c r="F112" s="75" t="s">
        <v>38</v>
      </c>
      <c r="G112" s="76" t="s">
        <v>38</v>
      </c>
      <c r="H112" s="76" t="s">
        <v>38</v>
      </c>
      <c r="I112" s="76" t="s">
        <v>38</v>
      </c>
      <c r="J112" s="77">
        <v>3</v>
      </c>
      <c r="K112" s="171">
        <f t="shared" si="66"/>
        <v>3</v>
      </c>
      <c r="L112" s="79">
        <v>0</v>
      </c>
      <c r="M112" s="218">
        <f t="shared" si="61"/>
        <v>3</v>
      </c>
      <c r="N112" s="81" t="s">
        <v>38</v>
      </c>
      <c r="O112" s="81" t="s">
        <v>38</v>
      </c>
      <c r="P112" s="82" t="s">
        <v>38</v>
      </c>
      <c r="Q112" s="113" t="s">
        <v>38</v>
      </c>
      <c r="R112" s="114" t="s">
        <v>38</v>
      </c>
      <c r="S112" s="113" t="s">
        <v>38</v>
      </c>
      <c r="T112" s="85"/>
      <c r="U112" s="85"/>
      <c r="V112" s="85">
        <f t="shared" si="67"/>
        <v>0</v>
      </c>
      <c r="W112" s="78" t="s">
        <v>38</v>
      </c>
      <c r="X112" s="210">
        <f t="shared" si="68"/>
        <v>0</v>
      </c>
      <c r="Y112" s="88">
        <v>0</v>
      </c>
      <c r="Z112" s="126">
        <v>0</v>
      </c>
      <c r="AA112" s="89">
        <f t="shared" si="65"/>
        <v>-3</v>
      </c>
      <c r="AB112" s="126">
        <v>0</v>
      </c>
      <c r="AC112" s="211">
        <v>0</v>
      </c>
      <c r="AD112" s="334" t="s">
        <v>38</v>
      </c>
      <c r="AE112" s="94" t="s">
        <v>38</v>
      </c>
      <c r="AF112" s="94" t="s">
        <v>38</v>
      </c>
      <c r="AG112" s="94" t="s">
        <v>38</v>
      </c>
      <c r="AH112" s="94" t="s">
        <v>38</v>
      </c>
      <c r="AI112" s="94" t="s">
        <v>38</v>
      </c>
      <c r="AJ112" s="328">
        <v>0</v>
      </c>
      <c r="AK112" s="328">
        <v>0</v>
      </c>
      <c r="AL112" s="328">
        <v>0</v>
      </c>
      <c r="AM112" s="328">
        <v>0</v>
      </c>
      <c r="AN112" s="328">
        <v>0</v>
      </c>
      <c r="AO112" s="146"/>
      <c r="AP112" s="63"/>
    </row>
    <row r="113" spans="1:42" ht="21.75" customHeight="1" x14ac:dyDescent="0.2">
      <c r="A113" s="127" t="s">
        <v>173</v>
      </c>
      <c r="B113" s="272"/>
      <c r="C113" s="75" t="s">
        <v>38</v>
      </c>
      <c r="D113" s="75" t="s">
        <v>38</v>
      </c>
      <c r="E113" s="75" t="s">
        <v>38</v>
      </c>
      <c r="F113" s="75" t="s">
        <v>38</v>
      </c>
      <c r="G113" s="76" t="s">
        <v>38</v>
      </c>
      <c r="H113" s="76" t="s">
        <v>38</v>
      </c>
      <c r="I113" s="76" t="s">
        <v>38</v>
      </c>
      <c r="J113" s="77">
        <v>4</v>
      </c>
      <c r="K113" s="171">
        <f t="shared" si="66"/>
        <v>4</v>
      </c>
      <c r="L113" s="79">
        <v>0</v>
      </c>
      <c r="M113" s="218">
        <f t="shared" si="61"/>
        <v>4</v>
      </c>
      <c r="N113" s="81" t="s">
        <v>38</v>
      </c>
      <c r="O113" s="81" t="s">
        <v>38</v>
      </c>
      <c r="P113" s="82" t="s">
        <v>38</v>
      </c>
      <c r="Q113" s="113" t="s">
        <v>38</v>
      </c>
      <c r="R113" s="114" t="s">
        <v>38</v>
      </c>
      <c r="S113" s="113" t="s">
        <v>38</v>
      </c>
      <c r="T113" s="85"/>
      <c r="U113" s="85"/>
      <c r="V113" s="85">
        <f t="shared" si="67"/>
        <v>0</v>
      </c>
      <c r="W113" s="78" t="s">
        <v>38</v>
      </c>
      <c r="X113" s="210">
        <f t="shared" si="68"/>
        <v>0</v>
      </c>
      <c r="Y113" s="88">
        <v>0</v>
      </c>
      <c r="Z113" s="126">
        <v>0</v>
      </c>
      <c r="AA113" s="89">
        <f t="shared" si="65"/>
        <v>-4</v>
      </c>
      <c r="AB113" s="126">
        <v>0</v>
      </c>
      <c r="AC113" s="211">
        <v>0</v>
      </c>
      <c r="AD113" s="334" t="s">
        <v>38</v>
      </c>
      <c r="AE113" s="94" t="s">
        <v>38</v>
      </c>
      <c r="AF113" s="94" t="s">
        <v>38</v>
      </c>
      <c r="AG113" s="94" t="s">
        <v>38</v>
      </c>
      <c r="AH113" s="94" t="s">
        <v>38</v>
      </c>
      <c r="AI113" s="94" t="s">
        <v>38</v>
      </c>
      <c r="AJ113" s="328">
        <v>0</v>
      </c>
      <c r="AK113" s="328">
        <v>0</v>
      </c>
      <c r="AL113" s="328">
        <v>0</v>
      </c>
      <c r="AM113" s="328">
        <v>0</v>
      </c>
      <c r="AN113" s="328">
        <v>0</v>
      </c>
      <c r="AO113" s="146"/>
      <c r="AP113" s="63"/>
    </row>
    <row r="114" spans="1:42" ht="21.75" customHeight="1" x14ac:dyDescent="0.2">
      <c r="A114" s="127" t="s">
        <v>174</v>
      </c>
      <c r="B114" s="272"/>
      <c r="C114" s="75" t="s">
        <v>38</v>
      </c>
      <c r="D114" s="75" t="s">
        <v>38</v>
      </c>
      <c r="E114" s="75" t="s">
        <v>38</v>
      </c>
      <c r="F114" s="75" t="s">
        <v>38</v>
      </c>
      <c r="G114" s="76" t="s">
        <v>38</v>
      </c>
      <c r="H114" s="76" t="s">
        <v>38</v>
      </c>
      <c r="I114" s="76" t="s">
        <v>38</v>
      </c>
      <c r="J114" s="77">
        <v>4</v>
      </c>
      <c r="K114" s="171">
        <f t="shared" si="66"/>
        <v>4</v>
      </c>
      <c r="L114" s="79">
        <v>0</v>
      </c>
      <c r="M114" s="218">
        <f t="shared" si="61"/>
        <v>4</v>
      </c>
      <c r="N114" s="81" t="s">
        <v>38</v>
      </c>
      <c r="O114" s="81" t="s">
        <v>38</v>
      </c>
      <c r="P114" s="82" t="s">
        <v>38</v>
      </c>
      <c r="Q114" s="113" t="s">
        <v>38</v>
      </c>
      <c r="R114" s="114" t="s">
        <v>38</v>
      </c>
      <c r="S114" s="113" t="s">
        <v>38</v>
      </c>
      <c r="T114" s="85"/>
      <c r="U114" s="85"/>
      <c r="V114" s="85">
        <f t="shared" si="67"/>
        <v>0</v>
      </c>
      <c r="W114" s="78" t="s">
        <v>38</v>
      </c>
      <c r="X114" s="210">
        <f t="shared" si="68"/>
        <v>0</v>
      </c>
      <c r="Y114" s="88">
        <v>0</v>
      </c>
      <c r="Z114" s="126">
        <v>0</v>
      </c>
      <c r="AA114" s="89">
        <f t="shared" si="65"/>
        <v>-4</v>
      </c>
      <c r="AB114" s="126">
        <v>0</v>
      </c>
      <c r="AC114" s="211">
        <v>0</v>
      </c>
      <c r="AD114" s="334" t="s">
        <v>38</v>
      </c>
      <c r="AE114" s="94" t="s">
        <v>38</v>
      </c>
      <c r="AF114" s="94" t="s">
        <v>38</v>
      </c>
      <c r="AG114" s="94" t="s">
        <v>38</v>
      </c>
      <c r="AH114" s="94" t="s">
        <v>38</v>
      </c>
      <c r="AI114" s="94" t="s">
        <v>38</v>
      </c>
      <c r="AJ114" s="328">
        <v>0</v>
      </c>
      <c r="AK114" s="328">
        <v>0</v>
      </c>
      <c r="AL114" s="328">
        <v>0</v>
      </c>
      <c r="AM114" s="328">
        <v>0</v>
      </c>
      <c r="AN114" s="328">
        <v>0</v>
      </c>
      <c r="AO114" s="146"/>
      <c r="AP114" s="63"/>
    </row>
    <row r="115" spans="1:42" ht="21.75" customHeight="1" x14ac:dyDescent="0.2">
      <c r="A115" s="127" t="s">
        <v>175</v>
      </c>
      <c r="B115" s="272"/>
      <c r="C115" s="75" t="s">
        <v>38</v>
      </c>
      <c r="D115" s="75" t="s">
        <v>38</v>
      </c>
      <c r="E115" s="75" t="s">
        <v>38</v>
      </c>
      <c r="F115" s="75" t="s">
        <v>38</v>
      </c>
      <c r="G115" s="76" t="s">
        <v>38</v>
      </c>
      <c r="H115" s="76" t="s">
        <v>38</v>
      </c>
      <c r="I115" s="76" t="s">
        <v>38</v>
      </c>
      <c r="J115" s="77">
        <v>2</v>
      </c>
      <c r="K115" s="171">
        <f t="shared" si="66"/>
        <v>2</v>
      </c>
      <c r="L115" s="79">
        <v>0</v>
      </c>
      <c r="M115" s="218">
        <f t="shared" si="61"/>
        <v>2</v>
      </c>
      <c r="N115" s="81" t="s">
        <v>38</v>
      </c>
      <c r="O115" s="81" t="s">
        <v>38</v>
      </c>
      <c r="P115" s="82" t="s">
        <v>38</v>
      </c>
      <c r="Q115" s="113" t="s">
        <v>38</v>
      </c>
      <c r="R115" s="114" t="s">
        <v>38</v>
      </c>
      <c r="S115" s="113" t="s">
        <v>38</v>
      </c>
      <c r="T115" s="85"/>
      <c r="U115" s="85"/>
      <c r="V115" s="85">
        <f t="shared" si="67"/>
        <v>0</v>
      </c>
      <c r="W115" s="78" t="s">
        <v>38</v>
      </c>
      <c r="X115" s="210">
        <f t="shared" si="68"/>
        <v>0</v>
      </c>
      <c r="Y115" s="88">
        <v>0</v>
      </c>
      <c r="Z115" s="126">
        <v>0</v>
      </c>
      <c r="AA115" s="89">
        <f t="shared" si="65"/>
        <v>-2</v>
      </c>
      <c r="AB115" s="126">
        <v>0</v>
      </c>
      <c r="AC115" s="211">
        <v>0</v>
      </c>
      <c r="AD115" s="334" t="s">
        <v>38</v>
      </c>
      <c r="AE115" s="94" t="s">
        <v>38</v>
      </c>
      <c r="AF115" s="94" t="s">
        <v>38</v>
      </c>
      <c r="AG115" s="94" t="s">
        <v>38</v>
      </c>
      <c r="AH115" s="94" t="s">
        <v>38</v>
      </c>
      <c r="AI115" s="94" t="s">
        <v>38</v>
      </c>
      <c r="AJ115" s="328">
        <v>0</v>
      </c>
      <c r="AK115" s="328">
        <v>0</v>
      </c>
      <c r="AL115" s="328">
        <v>0</v>
      </c>
      <c r="AM115" s="328">
        <v>0</v>
      </c>
      <c r="AN115" s="328">
        <v>0</v>
      </c>
      <c r="AO115" s="146"/>
      <c r="AP115" s="63"/>
    </row>
    <row r="116" spans="1:42" ht="21.75" customHeight="1" x14ac:dyDescent="0.2">
      <c r="A116" s="212" t="s">
        <v>176</v>
      </c>
      <c r="B116" s="272"/>
      <c r="C116" s="75"/>
      <c r="D116" s="75" t="s">
        <v>38</v>
      </c>
      <c r="E116" s="75" t="s">
        <v>38</v>
      </c>
      <c r="F116" s="75" t="s">
        <v>38</v>
      </c>
      <c r="G116" s="76" t="s">
        <v>38</v>
      </c>
      <c r="H116" s="76" t="s">
        <v>38</v>
      </c>
      <c r="I116" s="76" t="s">
        <v>38</v>
      </c>
      <c r="J116" s="77">
        <v>2</v>
      </c>
      <c r="K116" s="171">
        <f t="shared" si="66"/>
        <v>2</v>
      </c>
      <c r="L116" s="79">
        <v>0</v>
      </c>
      <c r="M116" s="218">
        <f t="shared" si="61"/>
        <v>2</v>
      </c>
      <c r="N116" s="81" t="s">
        <v>38</v>
      </c>
      <c r="O116" s="81" t="s">
        <v>38</v>
      </c>
      <c r="P116" s="82" t="s">
        <v>38</v>
      </c>
      <c r="Q116" s="113" t="s">
        <v>38</v>
      </c>
      <c r="R116" s="114" t="s">
        <v>38</v>
      </c>
      <c r="S116" s="113" t="s">
        <v>38</v>
      </c>
      <c r="T116" s="85"/>
      <c r="U116" s="85"/>
      <c r="V116" s="85">
        <f t="shared" si="67"/>
        <v>0</v>
      </c>
      <c r="W116" s="78" t="s">
        <v>38</v>
      </c>
      <c r="X116" s="213">
        <f>V116/18</f>
        <v>0</v>
      </c>
      <c r="Y116" s="88">
        <v>0</v>
      </c>
      <c r="Z116" s="126">
        <v>0</v>
      </c>
      <c r="AA116" s="89">
        <f t="shared" si="65"/>
        <v>-2</v>
      </c>
      <c r="AB116" s="126">
        <v>0</v>
      </c>
      <c r="AC116" s="211">
        <v>0</v>
      </c>
      <c r="AD116" s="334" t="s">
        <v>38</v>
      </c>
      <c r="AE116" s="94" t="s">
        <v>38</v>
      </c>
      <c r="AF116" s="94" t="s">
        <v>38</v>
      </c>
      <c r="AG116" s="94" t="s">
        <v>38</v>
      </c>
      <c r="AH116" s="94" t="s">
        <v>38</v>
      </c>
      <c r="AI116" s="94" t="s">
        <v>38</v>
      </c>
      <c r="AJ116" s="328">
        <v>0</v>
      </c>
      <c r="AK116" s="328">
        <v>0</v>
      </c>
      <c r="AL116" s="328">
        <v>0</v>
      </c>
      <c r="AM116" s="328">
        <v>0</v>
      </c>
      <c r="AN116" s="328">
        <v>0</v>
      </c>
      <c r="AO116" s="146"/>
      <c r="AP116" s="63"/>
    </row>
    <row r="117" spans="1:42" ht="21.75" customHeight="1" x14ac:dyDescent="0.2">
      <c r="A117" s="127" t="s">
        <v>179</v>
      </c>
      <c r="B117" s="272"/>
      <c r="C117" s="75" t="s">
        <v>38</v>
      </c>
      <c r="D117" s="75" t="s">
        <v>38</v>
      </c>
      <c r="E117" s="75" t="s">
        <v>38</v>
      </c>
      <c r="F117" s="75" t="s">
        <v>38</v>
      </c>
      <c r="G117" s="76" t="s">
        <v>38</v>
      </c>
      <c r="H117" s="76" t="s">
        <v>38</v>
      </c>
      <c r="I117" s="76" t="s">
        <v>38</v>
      </c>
      <c r="J117" s="77">
        <v>2</v>
      </c>
      <c r="K117" s="171">
        <f t="shared" si="66"/>
        <v>2</v>
      </c>
      <c r="L117" s="79">
        <v>0</v>
      </c>
      <c r="M117" s="218">
        <f t="shared" si="61"/>
        <v>2</v>
      </c>
      <c r="N117" s="81" t="s">
        <v>38</v>
      </c>
      <c r="O117" s="81" t="s">
        <v>38</v>
      </c>
      <c r="P117" s="82" t="s">
        <v>38</v>
      </c>
      <c r="Q117" s="113" t="s">
        <v>38</v>
      </c>
      <c r="R117" s="114" t="s">
        <v>38</v>
      </c>
      <c r="S117" s="113" t="s">
        <v>38</v>
      </c>
      <c r="T117" s="85"/>
      <c r="U117" s="85"/>
      <c r="V117" s="85">
        <f t="shared" si="67"/>
        <v>0</v>
      </c>
      <c r="W117" s="78" t="s">
        <v>38</v>
      </c>
      <c r="X117" s="210">
        <f t="shared" si="68"/>
        <v>0</v>
      </c>
      <c r="Y117" s="88">
        <v>0</v>
      </c>
      <c r="Z117" s="126">
        <v>0</v>
      </c>
      <c r="AA117" s="89">
        <f t="shared" si="65"/>
        <v>-2</v>
      </c>
      <c r="AB117" s="126">
        <v>0</v>
      </c>
      <c r="AC117" s="211">
        <v>0</v>
      </c>
      <c r="AD117" s="334" t="s">
        <v>38</v>
      </c>
      <c r="AE117" s="94" t="s">
        <v>38</v>
      </c>
      <c r="AF117" s="94" t="s">
        <v>38</v>
      </c>
      <c r="AG117" s="94" t="s">
        <v>38</v>
      </c>
      <c r="AH117" s="94" t="s">
        <v>38</v>
      </c>
      <c r="AI117" s="94" t="s">
        <v>38</v>
      </c>
      <c r="AJ117" s="328">
        <v>0</v>
      </c>
      <c r="AK117" s="328">
        <v>0</v>
      </c>
      <c r="AL117" s="328">
        <v>0</v>
      </c>
      <c r="AM117" s="328">
        <v>0</v>
      </c>
      <c r="AN117" s="328">
        <v>0</v>
      </c>
      <c r="AO117" s="146"/>
      <c r="AP117" s="63"/>
    </row>
    <row r="118" spans="1:42" ht="21.75" customHeight="1" x14ac:dyDescent="0.2">
      <c r="A118" s="127" t="s">
        <v>177</v>
      </c>
      <c r="B118" s="272"/>
      <c r="C118" s="75" t="s">
        <v>38</v>
      </c>
      <c r="D118" s="75" t="s">
        <v>38</v>
      </c>
      <c r="E118" s="75" t="s">
        <v>38</v>
      </c>
      <c r="F118" s="75" t="s">
        <v>38</v>
      </c>
      <c r="G118" s="76" t="s">
        <v>38</v>
      </c>
      <c r="H118" s="76" t="s">
        <v>38</v>
      </c>
      <c r="I118" s="76" t="s">
        <v>38</v>
      </c>
      <c r="J118" s="77">
        <v>4</v>
      </c>
      <c r="K118" s="171">
        <f t="shared" si="66"/>
        <v>4</v>
      </c>
      <c r="L118" s="79">
        <v>0</v>
      </c>
      <c r="M118" s="218">
        <f t="shared" si="61"/>
        <v>4</v>
      </c>
      <c r="N118" s="81" t="s">
        <v>38</v>
      </c>
      <c r="O118" s="81" t="s">
        <v>38</v>
      </c>
      <c r="P118" s="82" t="s">
        <v>38</v>
      </c>
      <c r="Q118" s="113" t="s">
        <v>38</v>
      </c>
      <c r="R118" s="114" t="s">
        <v>38</v>
      </c>
      <c r="S118" s="113" t="s">
        <v>38</v>
      </c>
      <c r="T118" s="85"/>
      <c r="U118" s="85"/>
      <c r="V118" s="85">
        <f t="shared" si="67"/>
        <v>0</v>
      </c>
      <c r="W118" s="78" t="s">
        <v>38</v>
      </c>
      <c r="X118" s="210">
        <f t="shared" si="68"/>
        <v>0</v>
      </c>
      <c r="Y118" s="88">
        <v>0</v>
      </c>
      <c r="Z118" s="126">
        <v>0</v>
      </c>
      <c r="AA118" s="89">
        <f t="shared" si="65"/>
        <v>-4</v>
      </c>
      <c r="AB118" s="126">
        <v>0</v>
      </c>
      <c r="AC118" s="211">
        <v>0</v>
      </c>
      <c r="AD118" s="334" t="s">
        <v>38</v>
      </c>
      <c r="AE118" s="94" t="s">
        <v>38</v>
      </c>
      <c r="AF118" s="94" t="s">
        <v>38</v>
      </c>
      <c r="AG118" s="94" t="s">
        <v>38</v>
      </c>
      <c r="AH118" s="94" t="s">
        <v>38</v>
      </c>
      <c r="AI118" s="94" t="s">
        <v>38</v>
      </c>
      <c r="AJ118" s="328">
        <v>0</v>
      </c>
      <c r="AK118" s="328">
        <v>0</v>
      </c>
      <c r="AL118" s="328">
        <v>0</v>
      </c>
      <c r="AM118" s="328">
        <v>0</v>
      </c>
      <c r="AN118" s="328">
        <v>0</v>
      </c>
      <c r="AO118" s="146"/>
      <c r="AP118" s="63"/>
    </row>
    <row r="119" spans="1:42" ht="21.75" customHeight="1" x14ac:dyDescent="0.2">
      <c r="A119" s="127" t="s">
        <v>178</v>
      </c>
      <c r="B119" s="272"/>
      <c r="C119" s="75" t="s">
        <v>38</v>
      </c>
      <c r="D119" s="75" t="s">
        <v>38</v>
      </c>
      <c r="E119" s="75" t="s">
        <v>38</v>
      </c>
      <c r="F119" s="75" t="s">
        <v>38</v>
      </c>
      <c r="G119" s="76" t="s">
        <v>38</v>
      </c>
      <c r="H119" s="76" t="s">
        <v>38</v>
      </c>
      <c r="I119" s="76" t="s">
        <v>38</v>
      </c>
      <c r="J119" s="77">
        <v>4</v>
      </c>
      <c r="K119" s="171">
        <f>SUM(C119:J119)</f>
        <v>4</v>
      </c>
      <c r="L119" s="79">
        <v>0</v>
      </c>
      <c r="M119" s="218">
        <f>K119-L119</f>
        <v>4</v>
      </c>
      <c r="N119" s="81" t="s">
        <v>38</v>
      </c>
      <c r="O119" s="81" t="s">
        <v>38</v>
      </c>
      <c r="P119" s="82" t="s">
        <v>38</v>
      </c>
      <c r="Q119" s="113" t="s">
        <v>38</v>
      </c>
      <c r="R119" s="114" t="s">
        <v>38</v>
      </c>
      <c r="S119" s="113" t="s">
        <v>38</v>
      </c>
      <c r="T119" s="85"/>
      <c r="U119" s="85"/>
      <c r="V119" s="85">
        <f t="shared" si="67"/>
        <v>0</v>
      </c>
      <c r="W119" s="78" t="s">
        <v>38</v>
      </c>
      <c r="X119" s="213">
        <f t="shared" si="68"/>
        <v>0</v>
      </c>
      <c r="Y119" s="88">
        <v>0</v>
      </c>
      <c r="Z119" s="126">
        <v>0</v>
      </c>
      <c r="AA119" s="89">
        <f>X119-M119</f>
        <v>-4</v>
      </c>
      <c r="AB119" s="126">
        <v>0</v>
      </c>
      <c r="AC119" s="211">
        <v>0</v>
      </c>
      <c r="AD119" s="334" t="s">
        <v>38</v>
      </c>
      <c r="AE119" s="94" t="s">
        <v>38</v>
      </c>
      <c r="AF119" s="94" t="s">
        <v>38</v>
      </c>
      <c r="AG119" s="94" t="s">
        <v>38</v>
      </c>
      <c r="AH119" s="94" t="s">
        <v>38</v>
      </c>
      <c r="AI119" s="94" t="s">
        <v>38</v>
      </c>
      <c r="AJ119" s="328">
        <v>0</v>
      </c>
      <c r="AK119" s="328">
        <v>0</v>
      </c>
      <c r="AL119" s="328">
        <v>0</v>
      </c>
      <c r="AM119" s="328">
        <v>0</v>
      </c>
      <c r="AN119" s="328">
        <v>0</v>
      </c>
      <c r="AO119" s="146"/>
      <c r="AP119" s="63"/>
    </row>
    <row r="120" spans="1:42" ht="21.75" customHeight="1" x14ac:dyDescent="0.2">
      <c r="A120" s="127" t="s">
        <v>180</v>
      </c>
      <c r="B120" s="272"/>
      <c r="C120" s="75" t="s">
        <v>38</v>
      </c>
      <c r="D120" s="75" t="s">
        <v>38</v>
      </c>
      <c r="E120" s="75" t="s">
        <v>38</v>
      </c>
      <c r="F120" s="75" t="s">
        <v>38</v>
      </c>
      <c r="G120" s="76" t="s">
        <v>38</v>
      </c>
      <c r="H120" s="76" t="s">
        <v>38</v>
      </c>
      <c r="I120" s="76" t="s">
        <v>38</v>
      </c>
      <c r="J120" s="77">
        <v>14</v>
      </c>
      <c r="K120" s="171">
        <f t="shared" si="66"/>
        <v>14</v>
      </c>
      <c r="L120" s="79">
        <v>0</v>
      </c>
      <c r="M120" s="218">
        <f t="shared" si="61"/>
        <v>14</v>
      </c>
      <c r="N120" s="81" t="s">
        <v>38</v>
      </c>
      <c r="O120" s="81" t="s">
        <v>38</v>
      </c>
      <c r="P120" s="82" t="s">
        <v>38</v>
      </c>
      <c r="Q120" s="113" t="s">
        <v>38</v>
      </c>
      <c r="R120" s="114" t="s">
        <v>38</v>
      </c>
      <c r="S120" s="113" t="s">
        <v>38</v>
      </c>
      <c r="T120" s="85"/>
      <c r="U120" s="85"/>
      <c r="V120" s="85">
        <f t="shared" si="67"/>
        <v>0</v>
      </c>
      <c r="W120" s="78" t="s">
        <v>38</v>
      </c>
      <c r="X120" s="213">
        <f t="shared" si="68"/>
        <v>0</v>
      </c>
      <c r="Y120" s="88">
        <v>0</v>
      </c>
      <c r="Z120" s="126">
        <v>0</v>
      </c>
      <c r="AA120" s="89">
        <f t="shared" si="65"/>
        <v>-14</v>
      </c>
      <c r="AB120" s="126">
        <v>0</v>
      </c>
      <c r="AC120" s="211">
        <v>0</v>
      </c>
      <c r="AD120" s="334" t="s">
        <v>38</v>
      </c>
      <c r="AE120" s="94" t="s">
        <v>38</v>
      </c>
      <c r="AF120" s="94" t="s">
        <v>38</v>
      </c>
      <c r="AG120" s="94" t="s">
        <v>38</v>
      </c>
      <c r="AH120" s="94" t="s">
        <v>38</v>
      </c>
      <c r="AI120" s="94" t="s">
        <v>38</v>
      </c>
      <c r="AJ120" s="328">
        <v>0</v>
      </c>
      <c r="AK120" s="328">
        <v>0</v>
      </c>
      <c r="AL120" s="328">
        <v>0</v>
      </c>
      <c r="AM120" s="328">
        <v>0</v>
      </c>
      <c r="AN120" s="328">
        <v>0</v>
      </c>
      <c r="AO120" s="146"/>
      <c r="AP120" s="63"/>
    </row>
    <row r="121" spans="1:42" s="58" customFormat="1" ht="21.75" customHeight="1" x14ac:dyDescent="0.2">
      <c r="A121" s="214" t="s">
        <v>202</v>
      </c>
      <c r="B121" s="275"/>
      <c r="C121" s="215">
        <f>SUM(C122:C127)</f>
        <v>0</v>
      </c>
      <c r="D121" s="215">
        <f t="shared" ref="D121:AI121" si="69">SUM(D122:D127)</f>
        <v>0</v>
      </c>
      <c r="E121" s="215">
        <f t="shared" si="69"/>
        <v>0</v>
      </c>
      <c r="F121" s="215">
        <f t="shared" si="69"/>
        <v>0</v>
      </c>
      <c r="G121" s="215">
        <f t="shared" si="69"/>
        <v>0</v>
      </c>
      <c r="H121" s="215">
        <f t="shared" si="69"/>
        <v>0</v>
      </c>
      <c r="I121" s="215">
        <f t="shared" si="69"/>
        <v>0</v>
      </c>
      <c r="J121" s="215">
        <f t="shared" si="69"/>
        <v>0</v>
      </c>
      <c r="K121" s="215">
        <f t="shared" si="69"/>
        <v>0</v>
      </c>
      <c r="L121" s="215">
        <f t="shared" si="69"/>
        <v>0</v>
      </c>
      <c r="M121" s="215">
        <f t="shared" si="69"/>
        <v>0</v>
      </c>
      <c r="N121" s="215">
        <f t="shared" si="69"/>
        <v>0</v>
      </c>
      <c r="O121" s="215">
        <f t="shared" si="69"/>
        <v>0</v>
      </c>
      <c r="P121" s="215">
        <f t="shared" si="69"/>
        <v>0</v>
      </c>
      <c r="Q121" s="215">
        <f t="shared" si="69"/>
        <v>0</v>
      </c>
      <c r="R121" s="215">
        <f t="shared" si="69"/>
        <v>540</v>
      </c>
      <c r="S121" s="215">
        <f t="shared" si="69"/>
        <v>18</v>
      </c>
      <c r="T121" s="215">
        <f t="shared" si="69"/>
        <v>0</v>
      </c>
      <c r="U121" s="215">
        <f t="shared" si="69"/>
        <v>0</v>
      </c>
      <c r="V121" s="215">
        <f t="shared" si="69"/>
        <v>0</v>
      </c>
      <c r="W121" s="215">
        <f t="shared" si="69"/>
        <v>0</v>
      </c>
      <c r="X121" s="215">
        <f t="shared" si="69"/>
        <v>0</v>
      </c>
      <c r="Y121" s="215">
        <f t="shared" si="69"/>
        <v>0</v>
      </c>
      <c r="Z121" s="215">
        <f t="shared" si="69"/>
        <v>0</v>
      </c>
      <c r="AA121" s="215">
        <f t="shared" si="69"/>
        <v>0</v>
      </c>
      <c r="AB121" s="215">
        <f t="shared" si="69"/>
        <v>0</v>
      </c>
      <c r="AC121" s="215">
        <f t="shared" si="69"/>
        <v>0</v>
      </c>
      <c r="AD121" s="333">
        <f t="shared" si="69"/>
        <v>0</v>
      </c>
      <c r="AE121" s="215">
        <f t="shared" si="69"/>
        <v>0</v>
      </c>
      <c r="AF121" s="215">
        <f t="shared" si="69"/>
        <v>0</v>
      </c>
      <c r="AG121" s="215">
        <f t="shared" si="69"/>
        <v>0</v>
      </c>
      <c r="AH121" s="215">
        <f t="shared" si="69"/>
        <v>0</v>
      </c>
      <c r="AI121" s="215">
        <f t="shared" si="69"/>
        <v>0</v>
      </c>
      <c r="AJ121" s="333">
        <v>0</v>
      </c>
      <c r="AK121" s="333">
        <v>0</v>
      </c>
      <c r="AL121" s="333">
        <v>0</v>
      </c>
      <c r="AM121" s="333">
        <v>0</v>
      </c>
      <c r="AN121" s="333">
        <v>0</v>
      </c>
      <c r="AO121" s="216"/>
      <c r="AP121" s="217"/>
    </row>
    <row r="122" spans="1:42" ht="21.75" customHeight="1" x14ac:dyDescent="0.55000000000000004">
      <c r="A122" s="129" t="s">
        <v>10</v>
      </c>
      <c r="B122" s="272"/>
      <c r="C122" s="75">
        <v>0</v>
      </c>
      <c r="D122" s="75">
        <v>0</v>
      </c>
      <c r="E122" s="75">
        <v>0</v>
      </c>
      <c r="F122" s="75">
        <v>0</v>
      </c>
      <c r="G122" s="76">
        <v>0</v>
      </c>
      <c r="H122" s="76">
        <v>0</v>
      </c>
      <c r="I122" s="76">
        <v>0</v>
      </c>
      <c r="J122" s="77">
        <v>0</v>
      </c>
      <c r="K122" s="171">
        <v>0</v>
      </c>
      <c r="L122" s="164">
        <v>0</v>
      </c>
      <c r="M122" s="218">
        <f t="shared" si="61"/>
        <v>0</v>
      </c>
      <c r="N122" s="81" t="s">
        <v>38</v>
      </c>
      <c r="O122" s="81" t="s">
        <v>38</v>
      </c>
      <c r="P122" s="82" t="s">
        <v>38</v>
      </c>
      <c r="Q122" s="113" t="s">
        <v>38</v>
      </c>
      <c r="R122" s="114">
        <v>90</v>
      </c>
      <c r="S122" s="113">
        <f t="shared" ref="S122:S127" si="70">R122/30</f>
        <v>3</v>
      </c>
      <c r="T122" s="85">
        <v>0</v>
      </c>
      <c r="U122" s="85">
        <v>0</v>
      </c>
      <c r="V122" s="85">
        <f t="shared" ref="V122:V127" si="71">SUM(T122:U122)</f>
        <v>0</v>
      </c>
      <c r="W122" s="78">
        <v>0</v>
      </c>
      <c r="X122" s="210">
        <v>0</v>
      </c>
      <c r="Y122" s="88">
        <v>0</v>
      </c>
      <c r="Z122" s="126">
        <v>0</v>
      </c>
      <c r="AA122" s="126">
        <v>0</v>
      </c>
      <c r="AB122" s="126">
        <v>0</v>
      </c>
      <c r="AC122" s="211">
        <v>0</v>
      </c>
      <c r="AD122" s="334">
        <v>0</v>
      </c>
      <c r="AE122" s="220">
        <v>0</v>
      </c>
      <c r="AF122" s="220">
        <v>0</v>
      </c>
      <c r="AG122" s="220">
        <v>0</v>
      </c>
      <c r="AH122" s="220">
        <v>0</v>
      </c>
      <c r="AI122" s="220">
        <v>0</v>
      </c>
      <c r="AJ122" s="328">
        <v>0</v>
      </c>
      <c r="AK122" s="328">
        <v>0</v>
      </c>
      <c r="AL122" s="328">
        <v>0</v>
      </c>
      <c r="AM122" s="328">
        <v>0</v>
      </c>
      <c r="AN122" s="328">
        <v>0</v>
      </c>
      <c r="AO122" s="146"/>
      <c r="AP122" s="63"/>
    </row>
    <row r="123" spans="1:42" ht="21.75" customHeight="1" x14ac:dyDescent="0.55000000000000004">
      <c r="A123" s="129" t="s">
        <v>11</v>
      </c>
      <c r="B123" s="272"/>
      <c r="C123" s="75">
        <v>0</v>
      </c>
      <c r="D123" s="75">
        <v>0</v>
      </c>
      <c r="E123" s="75">
        <v>0</v>
      </c>
      <c r="F123" s="75">
        <v>0</v>
      </c>
      <c r="G123" s="76">
        <v>0</v>
      </c>
      <c r="H123" s="76">
        <v>0</v>
      </c>
      <c r="I123" s="76">
        <v>0</v>
      </c>
      <c r="J123" s="77">
        <v>0</v>
      </c>
      <c r="K123" s="171">
        <v>0</v>
      </c>
      <c r="L123" s="164">
        <v>0</v>
      </c>
      <c r="M123" s="218">
        <f t="shared" si="61"/>
        <v>0</v>
      </c>
      <c r="N123" s="81" t="s">
        <v>38</v>
      </c>
      <c r="O123" s="81" t="s">
        <v>38</v>
      </c>
      <c r="P123" s="82" t="s">
        <v>38</v>
      </c>
      <c r="Q123" s="113" t="s">
        <v>38</v>
      </c>
      <c r="R123" s="114">
        <v>90</v>
      </c>
      <c r="S123" s="113">
        <f t="shared" si="70"/>
        <v>3</v>
      </c>
      <c r="T123" s="85">
        <v>0</v>
      </c>
      <c r="U123" s="85">
        <v>0</v>
      </c>
      <c r="V123" s="85">
        <f t="shared" si="71"/>
        <v>0</v>
      </c>
      <c r="W123" s="78">
        <v>0</v>
      </c>
      <c r="X123" s="210">
        <v>0</v>
      </c>
      <c r="Y123" s="88">
        <v>0</v>
      </c>
      <c r="Z123" s="126">
        <v>0</v>
      </c>
      <c r="AA123" s="126">
        <v>0</v>
      </c>
      <c r="AB123" s="126">
        <v>0</v>
      </c>
      <c r="AC123" s="211">
        <v>0</v>
      </c>
      <c r="AD123" s="334">
        <v>0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328">
        <v>0</v>
      </c>
      <c r="AK123" s="328">
        <v>0</v>
      </c>
      <c r="AL123" s="328">
        <v>0</v>
      </c>
      <c r="AM123" s="328">
        <v>0</v>
      </c>
      <c r="AN123" s="328">
        <v>0</v>
      </c>
      <c r="AO123" s="146"/>
      <c r="AP123" s="63"/>
    </row>
    <row r="124" spans="1:42" ht="21.75" customHeight="1" x14ac:dyDescent="0.55000000000000004">
      <c r="A124" s="129" t="s">
        <v>201</v>
      </c>
      <c r="B124" s="272"/>
      <c r="C124" s="75">
        <v>0</v>
      </c>
      <c r="D124" s="75">
        <v>0</v>
      </c>
      <c r="E124" s="75">
        <v>0</v>
      </c>
      <c r="F124" s="75">
        <v>0</v>
      </c>
      <c r="G124" s="76">
        <v>0</v>
      </c>
      <c r="H124" s="76">
        <v>0</v>
      </c>
      <c r="I124" s="76">
        <v>0</v>
      </c>
      <c r="J124" s="77">
        <v>0</v>
      </c>
      <c r="K124" s="171">
        <v>0</v>
      </c>
      <c r="L124" s="164">
        <v>0</v>
      </c>
      <c r="M124" s="218">
        <f t="shared" si="61"/>
        <v>0</v>
      </c>
      <c r="N124" s="81" t="s">
        <v>38</v>
      </c>
      <c r="O124" s="81" t="s">
        <v>38</v>
      </c>
      <c r="P124" s="82" t="s">
        <v>38</v>
      </c>
      <c r="Q124" s="113" t="s">
        <v>38</v>
      </c>
      <c r="R124" s="114">
        <v>90</v>
      </c>
      <c r="S124" s="113">
        <f t="shared" si="70"/>
        <v>3</v>
      </c>
      <c r="T124" s="85">
        <v>0</v>
      </c>
      <c r="U124" s="85">
        <v>0</v>
      </c>
      <c r="V124" s="85">
        <f t="shared" si="71"/>
        <v>0</v>
      </c>
      <c r="W124" s="78">
        <v>0</v>
      </c>
      <c r="X124" s="210">
        <v>0</v>
      </c>
      <c r="Y124" s="88">
        <v>0</v>
      </c>
      <c r="Z124" s="126">
        <v>0</v>
      </c>
      <c r="AA124" s="126">
        <v>0</v>
      </c>
      <c r="AB124" s="126">
        <v>0</v>
      </c>
      <c r="AC124" s="211">
        <v>0</v>
      </c>
      <c r="AD124" s="334">
        <v>0</v>
      </c>
      <c r="AE124" s="220">
        <v>0</v>
      </c>
      <c r="AF124" s="220">
        <v>0</v>
      </c>
      <c r="AG124" s="220">
        <v>0</v>
      </c>
      <c r="AH124" s="220">
        <v>0</v>
      </c>
      <c r="AI124" s="220">
        <v>0</v>
      </c>
      <c r="AJ124" s="328">
        <v>0</v>
      </c>
      <c r="AK124" s="328">
        <v>0</v>
      </c>
      <c r="AL124" s="328">
        <v>0</v>
      </c>
      <c r="AM124" s="328">
        <v>0</v>
      </c>
      <c r="AN124" s="328">
        <v>0</v>
      </c>
      <c r="AO124" s="146"/>
      <c r="AP124" s="63"/>
    </row>
    <row r="125" spans="1:42" ht="21.75" customHeight="1" x14ac:dyDescent="0.55000000000000004">
      <c r="A125" s="129" t="s">
        <v>203</v>
      </c>
      <c r="B125" s="272"/>
      <c r="C125" s="75">
        <v>0</v>
      </c>
      <c r="D125" s="75">
        <v>0</v>
      </c>
      <c r="E125" s="75">
        <v>0</v>
      </c>
      <c r="F125" s="75">
        <v>0</v>
      </c>
      <c r="G125" s="76">
        <v>0</v>
      </c>
      <c r="H125" s="76">
        <v>0</v>
      </c>
      <c r="I125" s="76">
        <v>0</v>
      </c>
      <c r="J125" s="77">
        <v>0</v>
      </c>
      <c r="K125" s="171">
        <v>0</v>
      </c>
      <c r="L125" s="164">
        <v>0</v>
      </c>
      <c r="M125" s="218">
        <f t="shared" si="61"/>
        <v>0</v>
      </c>
      <c r="N125" s="81" t="s">
        <v>38</v>
      </c>
      <c r="O125" s="81" t="s">
        <v>38</v>
      </c>
      <c r="P125" s="82" t="s">
        <v>38</v>
      </c>
      <c r="Q125" s="113" t="s">
        <v>38</v>
      </c>
      <c r="R125" s="114">
        <v>90</v>
      </c>
      <c r="S125" s="113">
        <f t="shared" si="70"/>
        <v>3</v>
      </c>
      <c r="T125" s="85">
        <v>0</v>
      </c>
      <c r="U125" s="85">
        <v>0</v>
      </c>
      <c r="V125" s="85">
        <f t="shared" si="71"/>
        <v>0</v>
      </c>
      <c r="W125" s="78">
        <v>0</v>
      </c>
      <c r="X125" s="210">
        <v>0</v>
      </c>
      <c r="Y125" s="88">
        <v>0</v>
      </c>
      <c r="Z125" s="126">
        <v>0</v>
      </c>
      <c r="AA125" s="126">
        <v>0</v>
      </c>
      <c r="AB125" s="126">
        <v>0</v>
      </c>
      <c r="AC125" s="211">
        <v>0</v>
      </c>
      <c r="AD125" s="334">
        <v>0</v>
      </c>
      <c r="AE125" s="220">
        <v>0</v>
      </c>
      <c r="AF125" s="220">
        <v>0</v>
      </c>
      <c r="AG125" s="220">
        <v>0</v>
      </c>
      <c r="AH125" s="220">
        <v>0</v>
      </c>
      <c r="AI125" s="220">
        <v>0</v>
      </c>
      <c r="AJ125" s="328">
        <v>0</v>
      </c>
      <c r="AK125" s="328">
        <v>0</v>
      </c>
      <c r="AL125" s="328">
        <v>0</v>
      </c>
      <c r="AM125" s="328">
        <v>0</v>
      </c>
      <c r="AN125" s="328">
        <v>0</v>
      </c>
      <c r="AO125" s="146"/>
      <c r="AP125" s="63"/>
    </row>
    <row r="126" spans="1:42" ht="21.75" customHeight="1" x14ac:dyDescent="0.55000000000000004">
      <c r="A126" s="129" t="s">
        <v>204</v>
      </c>
      <c r="B126" s="272"/>
      <c r="C126" s="75">
        <v>0</v>
      </c>
      <c r="D126" s="75">
        <v>0</v>
      </c>
      <c r="E126" s="75">
        <v>0</v>
      </c>
      <c r="F126" s="75">
        <v>0</v>
      </c>
      <c r="G126" s="76">
        <v>0</v>
      </c>
      <c r="H126" s="76">
        <v>0</v>
      </c>
      <c r="I126" s="76">
        <v>0</v>
      </c>
      <c r="J126" s="77">
        <v>0</v>
      </c>
      <c r="K126" s="171">
        <v>0</v>
      </c>
      <c r="L126" s="164">
        <v>0</v>
      </c>
      <c r="M126" s="218">
        <f t="shared" si="61"/>
        <v>0</v>
      </c>
      <c r="N126" s="81" t="s">
        <v>38</v>
      </c>
      <c r="O126" s="81" t="s">
        <v>38</v>
      </c>
      <c r="P126" s="82" t="s">
        <v>38</v>
      </c>
      <c r="Q126" s="113" t="s">
        <v>38</v>
      </c>
      <c r="R126" s="114">
        <v>90</v>
      </c>
      <c r="S126" s="113">
        <f t="shared" si="70"/>
        <v>3</v>
      </c>
      <c r="T126" s="85">
        <v>0</v>
      </c>
      <c r="U126" s="85">
        <v>0</v>
      </c>
      <c r="V126" s="85">
        <f t="shared" si="71"/>
        <v>0</v>
      </c>
      <c r="W126" s="78">
        <v>0</v>
      </c>
      <c r="X126" s="210">
        <v>0</v>
      </c>
      <c r="Y126" s="88">
        <v>0</v>
      </c>
      <c r="Z126" s="126">
        <v>0</v>
      </c>
      <c r="AA126" s="126">
        <v>0</v>
      </c>
      <c r="AB126" s="126">
        <v>0</v>
      </c>
      <c r="AC126" s="211">
        <v>0</v>
      </c>
      <c r="AD126" s="334">
        <v>0</v>
      </c>
      <c r="AE126" s="220">
        <v>0</v>
      </c>
      <c r="AF126" s="220">
        <v>0</v>
      </c>
      <c r="AG126" s="220">
        <v>0</v>
      </c>
      <c r="AH126" s="220">
        <v>0</v>
      </c>
      <c r="AI126" s="220">
        <v>0</v>
      </c>
      <c r="AJ126" s="328">
        <v>0</v>
      </c>
      <c r="AK126" s="328">
        <v>0</v>
      </c>
      <c r="AL126" s="328">
        <v>0</v>
      </c>
      <c r="AM126" s="328">
        <v>0</v>
      </c>
      <c r="AN126" s="328">
        <v>0</v>
      </c>
      <c r="AO126" s="146"/>
      <c r="AP126" s="63"/>
    </row>
    <row r="127" spans="1:42" ht="21.75" customHeight="1" x14ac:dyDescent="0.55000000000000004">
      <c r="A127" s="129" t="s">
        <v>205</v>
      </c>
      <c r="B127" s="272"/>
      <c r="C127" s="75">
        <v>0</v>
      </c>
      <c r="D127" s="75">
        <v>0</v>
      </c>
      <c r="E127" s="75">
        <v>0</v>
      </c>
      <c r="F127" s="75">
        <v>0</v>
      </c>
      <c r="G127" s="76">
        <v>0</v>
      </c>
      <c r="H127" s="76">
        <v>0</v>
      </c>
      <c r="I127" s="76">
        <v>0</v>
      </c>
      <c r="J127" s="77">
        <v>0</v>
      </c>
      <c r="K127" s="171">
        <v>0</v>
      </c>
      <c r="L127" s="164">
        <v>0</v>
      </c>
      <c r="M127" s="218">
        <f t="shared" si="61"/>
        <v>0</v>
      </c>
      <c r="N127" s="81" t="s">
        <v>38</v>
      </c>
      <c r="O127" s="81" t="s">
        <v>38</v>
      </c>
      <c r="P127" s="82" t="s">
        <v>38</v>
      </c>
      <c r="Q127" s="113" t="s">
        <v>38</v>
      </c>
      <c r="R127" s="114">
        <v>90</v>
      </c>
      <c r="S127" s="113">
        <f t="shared" si="70"/>
        <v>3</v>
      </c>
      <c r="T127" s="85">
        <v>0</v>
      </c>
      <c r="U127" s="85">
        <v>0</v>
      </c>
      <c r="V127" s="85">
        <f t="shared" si="71"/>
        <v>0</v>
      </c>
      <c r="W127" s="78">
        <v>0</v>
      </c>
      <c r="X127" s="210">
        <v>0</v>
      </c>
      <c r="Y127" s="88">
        <v>0</v>
      </c>
      <c r="Z127" s="126">
        <v>0</v>
      </c>
      <c r="AA127" s="126">
        <v>0</v>
      </c>
      <c r="AB127" s="126">
        <v>0</v>
      </c>
      <c r="AC127" s="211">
        <v>0</v>
      </c>
      <c r="AD127" s="334">
        <v>0</v>
      </c>
      <c r="AE127" s="220">
        <v>0</v>
      </c>
      <c r="AF127" s="220">
        <v>0</v>
      </c>
      <c r="AG127" s="220">
        <v>0</v>
      </c>
      <c r="AH127" s="220">
        <v>0</v>
      </c>
      <c r="AI127" s="220">
        <v>0</v>
      </c>
      <c r="AJ127" s="328">
        <v>0</v>
      </c>
      <c r="AK127" s="328">
        <v>0</v>
      </c>
      <c r="AL127" s="328">
        <v>0</v>
      </c>
      <c r="AM127" s="328">
        <v>0</v>
      </c>
      <c r="AN127" s="328">
        <v>0</v>
      </c>
      <c r="AO127" s="146"/>
      <c r="AP127" s="63"/>
    </row>
    <row r="128" spans="1:42" s="20" customFormat="1" ht="21.75" customHeight="1" x14ac:dyDescent="0.2">
      <c r="A128" s="221" t="s">
        <v>0</v>
      </c>
      <c r="B128" s="276"/>
      <c r="C128" s="139">
        <f t="shared" ref="C128:AN128" si="72">C100+C20+C46+C73+C90+C106+C6+C108+C121</f>
        <v>0</v>
      </c>
      <c r="D128" s="139">
        <f t="shared" si="72"/>
        <v>17</v>
      </c>
      <c r="E128" s="139">
        <f t="shared" si="72"/>
        <v>75</v>
      </c>
      <c r="F128" s="139">
        <f t="shared" si="72"/>
        <v>43</v>
      </c>
      <c r="G128" s="139">
        <f t="shared" si="72"/>
        <v>0</v>
      </c>
      <c r="H128" s="139">
        <f t="shared" si="72"/>
        <v>3</v>
      </c>
      <c r="I128" s="139">
        <f t="shared" si="72"/>
        <v>145</v>
      </c>
      <c r="J128" s="139">
        <f t="shared" si="72"/>
        <v>322</v>
      </c>
      <c r="K128" s="139">
        <f t="shared" si="72"/>
        <v>605</v>
      </c>
      <c r="L128" s="139">
        <f t="shared" si="72"/>
        <v>18</v>
      </c>
      <c r="M128" s="139">
        <f t="shared" si="72"/>
        <v>587</v>
      </c>
      <c r="N128" s="222">
        <f t="shared" si="72"/>
        <v>0</v>
      </c>
      <c r="O128" s="222">
        <f t="shared" si="72"/>
        <v>0</v>
      </c>
      <c r="P128" s="222">
        <f t="shared" si="72"/>
        <v>0</v>
      </c>
      <c r="Q128" s="139">
        <f t="shared" si="72"/>
        <v>0</v>
      </c>
      <c r="R128" s="222">
        <f t="shared" si="72"/>
        <v>647</v>
      </c>
      <c r="S128" s="139">
        <f t="shared" si="72"/>
        <v>28.75</v>
      </c>
      <c r="T128" s="222">
        <f t="shared" si="72"/>
        <v>0</v>
      </c>
      <c r="U128" s="222">
        <f t="shared" si="72"/>
        <v>0</v>
      </c>
      <c r="V128" s="222">
        <f t="shared" si="72"/>
        <v>0</v>
      </c>
      <c r="W128" s="222">
        <f t="shared" si="72"/>
        <v>0</v>
      </c>
      <c r="X128" s="139">
        <f t="shared" si="72"/>
        <v>0</v>
      </c>
      <c r="Y128" s="139">
        <f t="shared" si="72"/>
        <v>0</v>
      </c>
      <c r="Z128" s="223">
        <f t="shared" si="72"/>
        <v>-579</v>
      </c>
      <c r="AA128" s="223">
        <f t="shared" si="72"/>
        <v>-581</v>
      </c>
      <c r="AB128" s="223">
        <f t="shared" si="72"/>
        <v>-532</v>
      </c>
      <c r="AC128" s="139">
        <f t="shared" si="72"/>
        <v>428</v>
      </c>
      <c r="AD128" s="222">
        <f t="shared" si="72"/>
        <v>0</v>
      </c>
      <c r="AE128" s="139">
        <f t="shared" si="72"/>
        <v>9</v>
      </c>
      <c r="AF128" s="139">
        <f t="shared" si="72"/>
        <v>7</v>
      </c>
      <c r="AG128" s="139">
        <f t="shared" si="72"/>
        <v>11</v>
      </c>
      <c r="AH128" s="139">
        <f t="shared" si="72"/>
        <v>8</v>
      </c>
      <c r="AI128" s="139">
        <f t="shared" si="72"/>
        <v>7</v>
      </c>
      <c r="AJ128" s="139">
        <f t="shared" si="72"/>
        <v>0</v>
      </c>
      <c r="AK128" s="139">
        <f t="shared" si="72"/>
        <v>0</v>
      </c>
      <c r="AL128" s="139">
        <f t="shared" si="72"/>
        <v>0</v>
      </c>
      <c r="AM128" s="139">
        <f t="shared" si="72"/>
        <v>0</v>
      </c>
      <c r="AN128" s="139">
        <f t="shared" si="72"/>
        <v>0</v>
      </c>
      <c r="AO128" s="221"/>
      <c r="AP128" s="224"/>
    </row>
    <row r="129" spans="1:42" ht="21.75" customHeight="1" x14ac:dyDescent="0.2">
      <c r="A129" s="225" t="s">
        <v>250</v>
      </c>
      <c r="B129" s="277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50"/>
      <c r="N129" s="227"/>
      <c r="O129" s="228"/>
      <c r="P129" s="227"/>
      <c r="Q129" s="228"/>
      <c r="R129" s="228"/>
      <c r="S129" s="228"/>
      <c r="T129" s="226"/>
      <c r="U129" s="226"/>
      <c r="V129" s="226"/>
      <c r="W129" s="226"/>
      <c r="X129" s="228"/>
      <c r="Y129" s="228"/>
      <c r="Z129" s="228"/>
      <c r="AA129" s="228"/>
      <c r="AB129" s="228"/>
      <c r="AC129" s="228"/>
      <c r="AD129" s="337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9"/>
      <c r="AP129" s="63"/>
    </row>
    <row r="130" spans="1:42" x14ac:dyDescent="0.2">
      <c r="A130" s="6"/>
      <c r="B130" s="278"/>
      <c r="P130" s="34"/>
      <c r="X130" s="2"/>
      <c r="AC130" s="34"/>
      <c r="AD130" s="338"/>
      <c r="AE130" s="4"/>
      <c r="AF130" s="4"/>
      <c r="AG130" s="4"/>
      <c r="AH130" s="5"/>
      <c r="AI130" s="5"/>
      <c r="AJ130" s="4"/>
      <c r="AK130" s="4"/>
      <c r="AL130" s="4"/>
      <c r="AM130" s="4"/>
      <c r="AN130" s="5"/>
      <c r="AO130" s="5"/>
    </row>
    <row r="131" spans="1:42" x14ac:dyDescent="0.2">
      <c r="X131" s="2"/>
      <c r="AC131" s="34"/>
      <c r="AD131" s="338"/>
      <c r="AJ131" s="2"/>
      <c r="AK131" s="2"/>
      <c r="AL131" s="2"/>
      <c r="AM131" s="2"/>
      <c r="AN131" s="2"/>
    </row>
  </sheetData>
  <mergeCells count="56">
    <mergeCell ref="U4:U5"/>
    <mergeCell ref="V4:V5"/>
    <mergeCell ref="S3:S5"/>
    <mergeCell ref="T3:V3"/>
    <mergeCell ref="AE3:AI3"/>
    <mergeCell ref="AJ3:AN3"/>
    <mergeCell ref="M3:M5"/>
    <mergeCell ref="N3:P3"/>
    <mergeCell ref="Q3:Q5"/>
    <mergeCell ref="R3:R5"/>
    <mergeCell ref="W3:W5"/>
    <mergeCell ref="X3:X5"/>
    <mergeCell ref="P4:P5"/>
    <mergeCell ref="T4:T5"/>
    <mergeCell ref="AM4:AM5"/>
    <mergeCell ref="AN4:AN5"/>
    <mergeCell ref="AI4:AI5"/>
    <mergeCell ref="AJ4:AJ5"/>
    <mergeCell ref="A1:AO1"/>
    <mergeCell ref="A2:AO2"/>
    <mergeCell ref="A3:A5"/>
    <mergeCell ref="B3:B5"/>
    <mergeCell ref="C3:K3"/>
    <mergeCell ref="L3:L5"/>
    <mergeCell ref="AO3:AO5"/>
    <mergeCell ref="C4:F4"/>
    <mergeCell ref="G4:J4"/>
    <mergeCell ref="K4:K5"/>
    <mergeCell ref="N4:N5"/>
    <mergeCell ref="O4:O5"/>
    <mergeCell ref="AK4:AK5"/>
    <mergeCell ref="AL4:AL5"/>
    <mergeCell ref="Y3:Y5"/>
    <mergeCell ref="Z3:AB3"/>
    <mergeCell ref="A7:A8"/>
    <mergeCell ref="A11:A12"/>
    <mergeCell ref="A13:A14"/>
    <mergeCell ref="A15:A16"/>
    <mergeCell ref="AG4:AG5"/>
    <mergeCell ref="AH4:AH5"/>
    <mergeCell ref="AE4:AE5"/>
    <mergeCell ref="AF4:AF5"/>
    <mergeCell ref="AC3:AC5"/>
    <mergeCell ref="AD3:AD5"/>
    <mergeCell ref="A30:A33"/>
    <mergeCell ref="A35:A38"/>
    <mergeCell ref="A39:A41"/>
    <mergeCell ref="A48:A50"/>
    <mergeCell ref="A51:A52"/>
    <mergeCell ref="A53:A54"/>
    <mergeCell ref="A55:A58"/>
    <mergeCell ref="A65:A67"/>
    <mergeCell ref="A77:A81"/>
    <mergeCell ref="A84:A85"/>
    <mergeCell ref="A88:A89"/>
    <mergeCell ref="A101:A10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9" fitToHeight="0" orientation="landscape" r:id="rId1"/>
  <rowBreaks count="6" manualBreakCount="6">
    <brk id="19" max="40" man="1"/>
    <brk id="45" max="40" man="1"/>
    <brk id="72" max="40" man="1"/>
    <brk id="89" max="40" man="1"/>
    <brk id="99" max="40" man="1"/>
    <brk id="107" max="4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AP131"/>
  <sheetViews>
    <sheetView topLeftCell="A64" zoomScale="115" zoomScaleNormal="115" zoomScaleSheetLayoutView="100" workbookViewId="0">
      <selection activeCell="G5" sqref="G5"/>
    </sheetView>
  </sheetViews>
  <sheetFormatPr defaultColWidth="8.375" defaultRowHeight="20.25" x14ac:dyDescent="0.2"/>
  <cols>
    <col min="1" max="1" width="32.375" style="2" customWidth="1"/>
    <col min="2" max="2" width="32.375" style="279" bestFit="1" customWidth="1"/>
    <col min="3" max="3" width="4.125" style="34" bestFit="1" customWidth="1"/>
    <col min="4" max="8" width="4.375" style="34" customWidth="1"/>
    <col min="9" max="9" width="5.25" style="34" bestFit="1" customWidth="1"/>
    <col min="10" max="10" width="5" style="34" bestFit="1" customWidth="1"/>
    <col min="11" max="11" width="8" style="34" bestFit="1" customWidth="1"/>
    <col min="12" max="12" width="9.875" style="34" customWidth="1"/>
    <col min="13" max="13" width="8.875" style="41" customWidth="1"/>
    <col min="14" max="14" width="13" style="34" bestFit="1" customWidth="1"/>
    <col min="15" max="15" width="10" style="34" customWidth="1"/>
    <col min="16" max="16" width="13" style="31" bestFit="1" customWidth="1"/>
    <col min="17" max="17" width="8.75" style="2" customWidth="1"/>
    <col min="18" max="18" width="10.75" style="2" bestFit="1" customWidth="1"/>
    <col min="19" max="19" width="8.125" style="34" customWidth="1"/>
    <col min="20" max="20" width="10.375" style="32" bestFit="1" customWidth="1"/>
    <col min="21" max="21" width="8.125" style="32" customWidth="1"/>
    <col min="22" max="22" width="10.375" style="32" bestFit="1" customWidth="1"/>
    <col min="23" max="23" width="10.375" style="32" customWidth="1"/>
    <col min="24" max="24" width="8.875" style="54" customWidth="1"/>
    <col min="25" max="25" width="8.625" style="2" customWidth="1"/>
    <col min="26" max="26" width="7.125" style="2" hidden="1" customWidth="1"/>
    <col min="27" max="27" width="8" style="2" hidden="1" customWidth="1"/>
    <col min="28" max="28" width="9" style="34" hidden="1" customWidth="1"/>
    <col min="29" max="29" width="9" style="53" customWidth="1"/>
    <col min="30" max="30" width="9.625" style="52" bestFit="1" customWidth="1"/>
    <col min="31" max="33" width="4.875" style="2" bestFit="1" customWidth="1"/>
    <col min="34" max="34" width="4.375" style="2" customWidth="1"/>
    <col min="35" max="35" width="3.75" style="2" customWidth="1"/>
    <col min="36" max="40" width="4.875" style="15" bestFit="1" customWidth="1"/>
    <col min="41" max="41" width="36.375" style="2" bestFit="1" customWidth="1"/>
    <col min="42" max="16384" width="8.375" style="2"/>
  </cols>
  <sheetData>
    <row r="1" spans="1:42" ht="28.5" customHeight="1" x14ac:dyDescent="0.2">
      <c r="A1" s="394" t="s">
        <v>197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63"/>
    </row>
    <row r="2" spans="1:42" ht="24" x14ac:dyDescent="0.2">
      <c r="A2" s="394" t="s">
        <v>371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63"/>
    </row>
    <row r="3" spans="1:42" s="231" customFormat="1" ht="45" customHeight="1" x14ac:dyDescent="0.2">
      <c r="A3" s="361" t="s">
        <v>200</v>
      </c>
      <c r="B3" s="361" t="s">
        <v>142</v>
      </c>
      <c r="C3" s="395" t="s">
        <v>143</v>
      </c>
      <c r="D3" s="396"/>
      <c r="E3" s="396"/>
      <c r="F3" s="396"/>
      <c r="G3" s="396"/>
      <c r="H3" s="396"/>
      <c r="I3" s="396"/>
      <c r="J3" s="396"/>
      <c r="K3" s="396"/>
      <c r="L3" s="397" t="s">
        <v>144</v>
      </c>
      <c r="M3" s="386" t="s">
        <v>145</v>
      </c>
      <c r="N3" s="382" t="s">
        <v>361</v>
      </c>
      <c r="O3" s="382"/>
      <c r="P3" s="382"/>
      <c r="Q3" s="380" t="s">
        <v>147</v>
      </c>
      <c r="R3" s="387" t="s">
        <v>362</v>
      </c>
      <c r="S3" s="380" t="s">
        <v>149</v>
      </c>
      <c r="T3" s="381" t="s">
        <v>364</v>
      </c>
      <c r="U3" s="381"/>
      <c r="V3" s="381"/>
      <c r="W3" s="381" t="s">
        <v>151</v>
      </c>
      <c r="X3" s="390" t="s">
        <v>152</v>
      </c>
      <c r="Y3" s="400" t="s">
        <v>153</v>
      </c>
      <c r="Z3" s="382" t="s">
        <v>154</v>
      </c>
      <c r="AA3" s="382"/>
      <c r="AB3" s="382"/>
      <c r="AC3" s="401" t="s">
        <v>155</v>
      </c>
      <c r="AD3" s="402" t="s">
        <v>156</v>
      </c>
      <c r="AE3" s="382" t="s">
        <v>157</v>
      </c>
      <c r="AF3" s="383"/>
      <c r="AG3" s="383"/>
      <c r="AH3" s="383"/>
      <c r="AI3" s="383"/>
      <c r="AJ3" s="384" t="s">
        <v>158</v>
      </c>
      <c r="AK3" s="385"/>
      <c r="AL3" s="385"/>
      <c r="AM3" s="385"/>
      <c r="AN3" s="385"/>
      <c r="AO3" s="353" t="s">
        <v>159</v>
      </c>
    </row>
    <row r="4" spans="1:42" s="231" customFormat="1" ht="20.25" customHeight="1" x14ac:dyDescent="0.2">
      <c r="A4" s="361"/>
      <c r="B4" s="361"/>
      <c r="C4" s="398" t="s">
        <v>1</v>
      </c>
      <c r="D4" s="398"/>
      <c r="E4" s="398"/>
      <c r="F4" s="398"/>
      <c r="G4" s="398" t="s">
        <v>2</v>
      </c>
      <c r="H4" s="398"/>
      <c r="I4" s="398"/>
      <c r="J4" s="398"/>
      <c r="K4" s="382" t="s">
        <v>363</v>
      </c>
      <c r="L4" s="397"/>
      <c r="M4" s="386"/>
      <c r="N4" s="399" t="s">
        <v>9</v>
      </c>
      <c r="O4" s="399" t="s">
        <v>13</v>
      </c>
      <c r="P4" s="391" t="s">
        <v>14</v>
      </c>
      <c r="Q4" s="380"/>
      <c r="R4" s="388"/>
      <c r="S4" s="380"/>
      <c r="T4" s="378" t="s">
        <v>3</v>
      </c>
      <c r="U4" s="378" t="s">
        <v>28</v>
      </c>
      <c r="V4" s="379" t="s">
        <v>29</v>
      </c>
      <c r="W4" s="381"/>
      <c r="X4" s="390"/>
      <c r="Y4" s="400"/>
      <c r="Z4" s="230" t="s">
        <v>4</v>
      </c>
      <c r="AA4" s="230" t="s">
        <v>125</v>
      </c>
      <c r="AB4" s="230" t="s">
        <v>126</v>
      </c>
      <c r="AC4" s="401"/>
      <c r="AD4" s="402"/>
      <c r="AE4" s="393">
        <v>2567</v>
      </c>
      <c r="AF4" s="393">
        <v>2568</v>
      </c>
      <c r="AG4" s="393">
        <v>2569</v>
      </c>
      <c r="AH4" s="393">
        <v>2570</v>
      </c>
      <c r="AI4" s="393">
        <v>2571</v>
      </c>
      <c r="AJ4" s="392">
        <v>2567</v>
      </c>
      <c r="AK4" s="392">
        <v>2568</v>
      </c>
      <c r="AL4" s="392">
        <v>2569</v>
      </c>
      <c r="AM4" s="392">
        <v>2570</v>
      </c>
      <c r="AN4" s="392">
        <v>2571</v>
      </c>
      <c r="AO4" s="353"/>
    </row>
    <row r="5" spans="1:42" s="231" customFormat="1" ht="37.5" x14ac:dyDescent="0.2">
      <c r="A5" s="361"/>
      <c r="B5" s="361"/>
      <c r="C5" s="321" t="s">
        <v>5</v>
      </c>
      <c r="D5" s="321" t="s">
        <v>6</v>
      </c>
      <c r="E5" s="321" t="s">
        <v>7</v>
      </c>
      <c r="F5" s="321" t="s">
        <v>8</v>
      </c>
      <c r="G5" s="321" t="s">
        <v>5</v>
      </c>
      <c r="H5" s="321" t="s">
        <v>6</v>
      </c>
      <c r="I5" s="321" t="s">
        <v>7</v>
      </c>
      <c r="J5" s="321" t="s">
        <v>8</v>
      </c>
      <c r="K5" s="382"/>
      <c r="L5" s="397"/>
      <c r="M5" s="386"/>
      <c r="N5" s="399"/>
      <c r="O5" s="399"/>
      <c r="P5" s="391"/>
      <c r="Q5" s="380"/>
      <c r="R5" s="389"/>
      <c r="S5" s="380"/>
      <c r="T5" s="378"/>
      <c r="U5" s="378"/>
      <c r="V5" s="379"/>
      <c r="W5" s="381"/>
      <c r="X5" s="390"/>
      <c r="Y5" s="400"/>
      <c r="Z5" s="230" t="s">
        <v>160</v>
      </c>
      <c r="AA5" s="230" t="s">
        <v>161</v>
      </c>
      <c r="AB5" s="230" t="s">
        <v>162</v>
      </c>
      <c r="AC5" s="401"/>
      <c r="AD5" s="402"/>
      <c r="AE5" s="393"/>
      <c r="AF5" s="393"/>
      <c r="AG5" s="393"/>
      <c r="AH5" s="393"/>
      <c r="AI5" s="393"/>
      <c r="AJ5" s="392"/>
      <c r="AK5" s="392"/>
      <c r="AL5" s="392"/>
      <c r="AM5" s="392"/>
      <c r="AN5" s="392"/>
      <c r="AO5" s="354"/>
    </row>
    <row r="6" spans="1:42" s="9" customFormat="1" ht="21.95" customHeight="1" x14ac:dyDescent="0.2">
      <c r="A6" s="64" t="s">
        <v>45</v>
      </c>
      <c r="B6" s="261"/>
      <c r="C6" s="65">
        <f t="shared" ref="C6:AD6" si="0">SUM(C7:C18)</f>
        <v>0</v>
      </c>
      <c r="D6" s="65">
        <f t="shared" si="0"/>
        <v>3</v>
      </c>
      <c r="E6" s="65">
        <f t="shared" si="0"/>
        <v>19</v>
      </c>
      <c r="F6" s="65">
        <f t="shared" si="0"/>
        <v>4</v>
      </c>
      <c r="G6" s="65">
        <f t="shared" si="0"/>
        <v>0</v>
      </c>
      <c r="H6" s="65">
        <f t="shared" si="0"/>
        <v>0</v>
      </c>
      <c r="I6" s="65">
        <f t="shared" si="0"/>
        <v>15</v>
      </c>
      <c r="J6" s="65">
        <f t="shared" si="0"/>
        <v>22</v>
      </c>
      <c r="K6" s="65">
        <f t="shared" si="0"/>
        <v>63</v>
      </c>
      <c r="L6" s="65">
        <f t="shared" si="0"/>
        <v>1</v>
      </c>
      <c r="M6" s="65">
        <f t="shared" si="0"/>
        <v>62</v>
      </c>
      <c r="N6" s="67">
        <f t="shared" si="0"/>
        <v>672.86111111111063</v>
      </c>
      <c r="O6" s="67">
        <f t="shared" si="0"/>
        <v>346.51111111111106</v>
      </c>
      <c r="P6" s="251">
        <f t="shared" si="0"/>
        <v>1019.3722222222218</v>
      </c>
      <c r="Q6" s="68">
        <f t="shared" si="0"/>
        <v>33.979074074074056</v>
      </c>
      <c r="R6" s="68">
        <f t="shared" si="0"/>
        <v>1070.340833333333</v>
      </c>
      <c r="S6" s="68">
        <f t="shared" si="0"/>
        <v>35.678027777777757</v>
      </c>
      <c r="T6" s="256">
        <f t="shared" si="0"/>
        <v>1940</v>
      </c>
      <c r="U6" s="256">
        <f t="shared" si="0"/>
        <v>192</v>
      </c>
      <c r="V6" s="256">
        <f t="shared" si="0"/>
        <v>2132</v>
      </c>
      <c r="W6" s="256">
        <f t="shared" si="0"/>
        <v>1066</v>
      </c>
      <c r="X6" s="65">
        <f t="shared" si="0"/>
        <v>80.802380952380943</v>
      </c>
      <c r="Y6" s="65">
        <f t="shared" si="0"/>
        <v>76.142857142857153</v>
      </c>
      <c r="Z6" s="69">
        <f t="shared" si="0"/>
        <v>-27.898425925925942</v>
      </c>
      <c r="AA6" s="69">
        <f t="shared" si="0"/>
        <v>18.888095238095239</v>
      </c>
      <c r="AB6" s="69">
        <f t="shared" si="0"/>
        <v>14.000000000000002</v>
      </c>
      <c r="AC6" s="68">
        <f t="shared" si="0"/>
        <v>46</v>
      </c>
      <c r="AD6" s="68">
        <f t="shared" si="0"/>
        <v>33.979074074074056</v>
      </c>
      <c r="AE6" s="65">
        <f t="shared" ref="AE6:AN6" si="1">SUM(AE7:AE18)</f>
        <v>1</v>
      </c>
      <c r="AF6" s="65">
        <f t="shared" si="1"/>
        <v>1</v>
      </c>
      <c r="AG6" s="65">
        <f t="shared" si="1"/>
        <v>5</v>
      </c>
      <c r="AH6" s="65">
        <f t="shared" si="1"/>
        <v>1</v>
      </c>
      <c r="AI6" s="65">
        <f t="shared" si="1"/>
        <v>0</v>
      </c>
      <c r="AJ6" s="65">
        <f t="shared" si="1"/>
        <v>0</v>
      </c>
      <c r="AK6" s="65">
        <f t="shared" si="1"/>
        <v>0</v>
      </c>
      <c r="AL6" s="65">
        <f t="shared" si="1"/>
        <v>0</v>
      </c>
      <c r="AM6" s="65">
        <f t="shared" si="1"/>
        <v>0</v>
      </c>
      <c r="AN6" s="65">
        <f t="shared" si="1"/>
        <v>0</v>
      </c>
      <c r="AO6" s="71"/>
      <c r="AP6" s="72"/>
    </row>
    <row r="7" spans="1:42" s="7" customFormat="1" ht="21.95" customHeight="1" x14ac:dyDescent="0.2">
      <c r="A7" s="348" t="s">
        <v>44</v>
      </c>
      <c r="B7" s="262" t="s">
        <v>18</v>
      </c>
      <c r="C7" s="75" t="s">
        <v>38</v>
      </c>
      <c r="D7" s="75" t="s">
        <v>38</v>
      </c>
      <c r="E7" s="75">
        <v>2</v>
      </c>
      <c r="F7" s="75" t="s">
        <v>38</v>
      </c>
      <c r="G7" s="76" t="s">
        <v>38</v>
      </c>
      <c r="H7" s="76" t="s">
        <v>38</v>
      </c>
      <c r="I7" s="76">
        <v>1</v>
      </c>
      <c r="J7" s="77" t="s">
        <v>38</v>
      </c>
      <c r="K7" s="78">
        <f t="shared" ref="K7:K18" si="2">SUM(D7:J7)</f>
        <v>3</v>
      </c>
      <c r="L7" s="79">
        <f>-L8</f>
        <v>0</v>
      </c>
      <c r="M7" s="236">
        <f t="shared" ref="M7:M19" si="3">K7-L7</f>
        <v>3</v>
      </c>
      <c r="N7" s="81">
        <v>0</v>
      </c>
      <c r="O7" s="81">
        <f>14.3333333333333*1.8</f>
        <v>25.79999999999994</v>
      </c>
      <c r="P7" s="82">
        <f t="shared" ref="P7:P19" si="4">SUM(N7:O7)</f>
        <v>25.79999999999994</v>
      </c>
      <c r="Q7" s="83">
        <f t="shared" ref="Q7:Q18" si="5">P7/30</f>
        <v>0.85999999999999799</v>
      </c>
      <c r="R7" s="84">
        <f t="shared" ref="R7:R18" si="6">(P7*0.05)+P7</f>
        <v>27.089999999999936</v>
      </c>
      <c r="S7" s="83">
        <f t="shared" ref="S7:S18" si="7">R7/30</f>
        <v>0.90299999999999792</v>
      </c>
      <c r="T7" s="85">
        <v>0</v>
      </c>
      <c r="U7" s="86">
        <v>32</v>
      </c>
      <c r="V7" s="78">
        <f t="shared" ref="V7:V12" si="8">SUM(T7:U7)</f>
        <v>32</v>
      </c>
      <c r="W7" s="78">
        <f>V7/2</f>
        <v>16</v>
      </c>
      <c r="X7" s="87">
        <f>V7/28</f>
        <v>1.1428571428571428</v>
      </c>
      <c r="Y7" s="88">
        <f>W7/14</f>
        <v>1.1428571428571428</v>
      </c>
      <c r="Z7" s="89">
        <f t="shared" ref="Z7:Z18" si="9">Q7-M7</f>
        <v>-2.1400000000000019</v>
      </c>
      <c r="AA7" s="89">
        <f t="shared" ref="AA7:AA18" si="10">X7-M7</f>
        <v>-1.8571428571428572</v>
      </c>
      <c r="AB7" s="89">
        <f>Y7-M7</f>
        <v>-1.8571428571428572</v>
      </c>
      <c r="AC7" s="90">
        <v>3</v>
      </c>
      <c r="AD7" s="91">
        <f t="shared" ref="AD7:AD18" si="11">P7/30</f>
        <v>0.85999999999999799</v>
      </c>
      <c r="AE7" s="92" t="s">
        <v>38</v>
      </c>
      <c r="AF7" s="92" t="s">
        <v>38</v>
      </c>
      <c r="AG7" s="92">
        <v>2</v>
      </c>
      <c r="AH7" s="92" t="s">
        <v>38</v>
      </c>
      <c r="AI7" s="92" t="s">
        <v>38</v>
      </c>
      <c r="AJ7" s="93" t="s">
        <v>38</v>
      </c>
      <c r="AK7" s="93" t="s">
        <v>38</v>
      </c>
      <c r="AL7" s="93" t="s">
        <v>38</v>
      </c>
      <c r="AM7" s="93" t="s">
        <v>38</v>
      </c>
      <c r="AN7" s="93" t="s">
        <v>38</v>
      </c>
      <c r="AO7" s="94"/>
      <c r="AP7" s="95"/>
    </row>
    <row r="8" spans="1:42" s="10" customFormat="1" ht="24" x14ac:dyDescent="0.2">
      <c r="A8" s="348"/>
      <c r="B8" s="262" t="s">
        <v>19</v>
      </c>
      <c r="C8" s="96" t="s">
        <v>38</v>
      </c>
      <c r="D8" s="96" t="s">
        <v>38</v>
      </c>
      <c r="E8" s="96">
        <v>1</v>
      </c>
      <c r="F8" s="96" t="s">
        <v>38</v>
      </c>
      <c r="G8" s="97" t="s">
        <v>38</v>
      </c>
      <c r="H8" s="97" t="s">
        <v>38</v>
      </c>
      <c r="I8" s="97">
        <v>1</v>
      </c>
      <c r="J8" s="97">
        <v>3</v>
      </c>
      <c r="K8" s="78">
        <f t="shared" si="2"/>
        <v>5</v>
      </c>
      <c r="L8" s="79">
        <v>0</v>
      </c>
      <c r="M8" s="236">
        <f t="shared" si="3"/>
        <v>5</v>
      </c>
      <c r="N8" s="98">
        <v>0</v>
      </c>
      <c r="O8" s="98">
        <f>19.8333333333333*1.8</f>
        <v>35.699999999999939</v>
      </c>
      <c r="P8" s="82">
        <f t="shared" si="4"/>
        <v>35.699999999999939</v>
      </c>
      <c r="Q8" s="83">
        <f t="shared" si="5"/>
        <v>1.1899999999999979</v>
      </c>
      <c r="R8" s="84">
        <f t="shared" si="6"/>
        <v>37.484999999999935</v>
      </c>
      <c r="S8" s="83">
        <f t="shared" si="7"/>
        <v>1.2494999999999978</v>
      </c>
      <c r="T8" s="99">
        <f>228+99</f>
        <v>327</v>
      </c>
      <c r="U8" s="86">
        <v>32</v>
      </c>
      <c r="V8" s="78">
        <f t="shared" si="8"/>
        <v>359</v>
      </c>
      <c r="W8" s="78">
        <f t="shared" ref="W8:W73" si="12">V8/2</f>
        <v>179.5</v>
      </c>
      <c r="X8" s="87">
        <f>V8/12</f>
        <v>29.916666666666668</v>
      </c>
      <c r="Y8" s="88">
        <f>W8/14</f>
        <v>12.821428571428571</v>
      </c>
      <c r="Z8" s="100">
        <f t="shared" si="9"/>
        <v>-3.8100000000000023</v>
      </c>
      <c r="AA8" s="100">
        <f t="shared" si="10"/>
        <v>24.916666666666668</v>
      </c>
      <c r="AB8" s="100">
        <f t="shared" ref="AB8:AB33" si="13">Y8-M8</f>
        <v>7.8214285714285712</v>
      </c>
      <c r="AC8" s="90">
        <v>3</v>
      </c>
      <c r="AD8" s="91">
        <f t="shared" si="11"/>
        <v>1.1899999999999979</v>
      </c>
      <c r="AE8" s="101" t="s">
        <v>38</v>
      </c>
      <c r="AF8" s="101" t="s">
        <v>38</v>
      </c>
      <c r="AG8" s="101" t="s">
        <v>38</v>
      </c>
      <c r="AH8" s="101" t="s">
        <v>38</v>
      </c>
      <c r="AI8" s="101" t="s">
        <v>38</v>
      </c>
      <c r="AJ8" s="93" t="s">
        <v>38</v>
      </c>
      <c r="AK8" s="93" t="s">
        <v>38</v>
      </c>
      <c r="AL8" s="93" t="s">
        <v>38</v>
      </c>
      <c r="AM8" s="93" t="s">
        <v>38</v>
      </c>
      <c r="AN8" s="93" t="s">
        <v>38</v>
      </c>
      <c r="AO8" s="94"/>
      <c r="AP8" s="63"/>
    </row>
    <row r="9" spans="1:42" s="7" customFormat="1" ht="21.95" customHeight="1" x14ac:dyDescent="0.2">
      <c r="A9" s="73" t="s">
        <v>46</v>
      </c>
      <c r="B9" s="263" t="s">
        <v>21</v>
      </c>
      <c r="C9" s="75" t="s">
        <v>38</v>
      </c>
      <c r="D9" s="75" t="s">
        <v>38</v>
      </c>
      <c r="E9" s="75">
        <v>3</v>
      </c>
      <c r="F9" s="75">
        <v>1</v>
      </c>
      <c r="G9" s="76" t="s">
        <v>38</v>
      </c>
      <c r="H9" s="76" t="s">
        <v>38</v>
      </c>
      <c r="I9" s="76">
        <v>3</v>
      </c>
      <c r="J9" s="97" t="s">
        <v>38</v>
      </c>
      <c r="K9" s="78">
        <f t="shared" si="2"/>
        <v>7</v>
      </c>
      <c r="L9" s="79">
        <v>0</v>
      </c>
      <c r="M9" s="236">
        <f t="shared" si="3"/>
        <v>7</v>
      </c>
      <c r="N9" s="81">
        <v>228.444444444444</v>
      </c>
      <c r="O9" s="81">
        <v>0</v>
      </c>
      <c r="P9" s="82">
        <f t="shared" si="4"/>
        <v>228.444444444444</v>
      </c>
      <c r="Q9" s="83">
        <f t="shared" si="5"/>
        <v>7.6148148148148005</v>
      </c>
      <c r="R9" s="84">
        <f t="shared" si="6"/>
        <v>239.86666666666619</v>
      </c>
      <c r="S9" s="83">
        <f t="shared" si="7"/>
        <v>7.9955555555555398</v>
      </c>
      <c r="T9" s="103">
        <v>207</v>
      </c>
      <c r="U9" s="85">
        <v>0</v>
      </c>
      <c r="V9" s="78">
        <f t="shared" si="8"/>
        <v>207</v>
      </c>
      <c r="W9" s="78">
        <f t="shared" si="12"/>
        <v>103.5</v>
      </c>
      <c r="X9" s="87">
        <f t="shared" ref="X9:X18" si="14">V9/35</f>
        <v>5.9142857142857146</v>
      </c>
      <c r="Y9" s="88">
        <f t="shared" ref="Y9:Y73" si="15">W9/14</f>
        <v>7.3928571428571432</v>
      </c>
      <c r="Z9" s="89">
        <f t="shared" si="9"/>
        <v>0.61481481481480049</v>
      </c>
      <c r="AA9" s="89">
        <f t="shared" si="10"/>
        <v>-1.0857142857142854</v>
      </c>
      <c r="AB9" s="89">
        <f t="shared" si="13"/>
        <v>0.39285714285714324</v>
      </c>
      <c r="AC9" s="90">
        <v>5</v>
      </c>
      <c r="AD9" s="91">
        <f t="shared" si="11"/>
        <v>7.6148148148148005</v>
      </c>
      <c r="AE9" s="92" t="s">
        <v>38</v>
      </c>
      <c r="AF9" s="92" t="s">
        <v>38</v>
      </c>
      <c r="AG9" s="92">
        <v>1</v>
      </c>
      <c r="AH9" s="92">
        <v>1</v>
      </c>
      <c r="AI9" s="92" t="s">
        <v>38</v>
      </c>
      <c r="AJ9" s="93" t="s">
        <v>38</v>
      </c>
      <c r="AK9" s="93" t="s">
        <v>38</v>
      </c>
      <c r="AL9" s="93" t="s">
        <v>38</v>
      </c>
      <c r="AM9" s="93" t="s">
        <v>38</v>
      </c>
      <c r="AN9" s="93" t="s">
        <v>38</v>
      </c>
      <c r="AO9" s="94"/>
      <c r="AP9" s="95"/>
    </row>
    <row r="10" spans="1:42" s="10" customFormat="1" ht="21.95" customHeight="1" x14ac:dyDescent="0.2">
      <c r="A10" s="104" t="s">
        <v>225</v>
      </c>
      <c r="B10" s="262" t="s">
        <v>21</v>
      </c>
      <c r="C10" s="75" t="s">
        <v>38</v>
      </c>
      <c r="D10" s="75" t="s">
        <v>38</v>
      </c>
      <c r="E10" s="75">
        <v>2</v>
      </c>
      <c r="F10" s="75">
        <v>2</v>
      </c>
      <c r="G10" s="76" t="s">
        <v>38</v>
      </c>
      <c r="H10" s="76" t="s">
        <v>38</v>
      </c>
      <c r="I10" s="76">
        <v>1</v>
      </c>
      <c r="J10" s="77">
        <v>4</v>
      </c>
      <c r="K10" s="78">
        <f t="shared" si="2"/>
        <v>9</v>
      </c>
      <c r="L10" s="79">
        <v>0</v>
      </c>
      <c r="M10" s="236">
        <f t="shared" si="3"/>
        <v>9</v>
      </c>
      <c r="N10" s="98">
        <v>126.30555555555556</v>
      </c>
      <c r="O10" s="98">
        <v>0</v>
      </c>
      <c r="P10" s="82">
        <f t="shared" si="4"/>
        <v>126.30555555555556</v>
      </c>
      <c r="Q10" s="83">
        <f t="shared" si="5"/>
        <v>4.2101851851851855</v>
      </c>
      <c r="R10" s="84">
        <f t="shared" si="6"/>
        <v>132.62083333333334</v>
      </c>
      <c r="S10" s="83">
        <f t="shared" si="7"/>
        <v>4.4206944444444449</v>
      </c>
      <c r="T10" s="103">
        <v>221</v>
      </c>
      <c r="U10" s="85">
        <v>0</v>
      </c>
      <c r="V10" s="78">
        <f t="shared" si="8"/>
        <v>221</v>
      </c>
      <c r="W10" s="78">
        <f t="shared" si="12"/>
        <v>110.5</v>
      </c>
      <c r="X10" s="87">
        <f t="shared" si="14"/>
        <v>6.3142857142857141</v>
      </c>
      <c r="Y10" s="88">
        <f t="shared" si="15"/>
        <v>7.8928571428571432</v>
      </c>
      <c r="Z10" s="100">
        <f t="shared" si="9"/>
        <v>-4.7898148148148145</v>
      </c>
      <c r="AA10" s="100">
        <f>X10-M10</f>
        <v>-2.6857142857142859</v>
      </c>
      <c r="AB10" s="100">
        <f>Y10-M10</f>
        <v>-1.1071428571428568</v>
      </c>
      <c r="AC10" s="90">
        <v>5</v>
      </c>
      <c r="AD10" s="91">
        <f t="shared" si="11"/>
        <v>4.2101851851851855</v>
      </c>
      <c r="AE10" s="101" t="s">
        <v>38</v>
      </c>
      <c r="AF10" s="101" t="s">
        <v>38</v>
      </c>
      <c r="AG10" s="101" t="s">
        <v>38</v>
      </c>
      <c r="AH10" s="101" t="s">
        <v>38</v>
      </c>
      <c r="AI10" s="101" t="s">
        <v>38</v>
      </c>
      <c r="AJ10" s="93" t="s">
        <v>38</v>
      </c>
      <c r="AK10" s="93" t="s">
        <v>38</v>
      </c>
      <c r="AL10" s="93" t="s">
        <v>38</v>
      </c>
      <c r="AM10" s="93" t="s">
        <v>38</v>
      </c>
      <c r="AN10" s="93" t="s">
        <v>38</v>
      </c>
      <c r="AO10" s="94"/>
      <c r="AP10" s="63"/>
    </row>
    <row r="11" spans="1:42" s="10" customFormat="1" ht="21.95" customHeight="1" x14ac:dyDescent="0.2">
      <c r="A11" s="348" t="s">
        <v>48</v>
      </c>
      <c r="B11" s="262" t="s">
        <v>128</v>
      </c>
      <c r="C11" s="105" t="s">
        <v>38</v>
      </c>
      <c r="D11" s="96">
        <v>1</v>
      </c>
      <c r="E11" s="96" t="s">
        <v>38</v>
      </c>
      <c r="F11" s="96" t="s">
        <v>38</v>
      </c>
      <c r="G11" s="106" t="s">
        <v>38</v>
      </c>
      <c r="H11" s="76" t="s">
        <v>38</v>
      </c>
      <c r="I11" s="76" t="s">
        <v>38</v>
      </c>
      <c r="J11" s="77" t="s">
        <v>38</v>
      </c>
      <c r="K11" s="78">
        <f t="shared" si="2"/>
        <v>1</v>
      </c>
      <c r="L11" s="79">
        <v>0</v>
      </c>
      <c r="M11" s="236">
        <f t="shared" si="3"/>
        <v>1</v>
      </c>
      <c r="N11" s="98">
        <v>0</v>
      </c>
      <c r="O11" s="98">
        <f>14.625*1.8</f>
        <v>26.324999999999999</v>
      </c>
      <c r="P11" s="82">
        <f t="shared" si="4"/>
        <v>26.324999999999999</v>
      </c>
      <c r="Q11" s="83">
        <f t="shared" si="5"/>
        <v>0.87749999999999995</v>
      </c>
      <c r="R11" s="84">
        <f t="shared" si="6"/>
        <v>27.641249999999999</v>
      </c>
      <c r="S11" s="83">
        <f t="shared" si="7"/>
        <v>0.92137499999999994</v>
      </c>
      <c r="T11" s="103">
        <v>0</v>
      </c>
      <c r="U11" s="107">
        <v>32</v>
      </c>
      <c r="V11" s="78">
        <f t="shared" si="8"/>
        <v>32</v>
      </c>
      <c r="W11" s="78">
        <f t="shared" si="12"/>
        <v>16</v>
      </c>
      <c r="X11" s="87">
        <f t="shared" si="14"/>
        <v>0.91428571428571426</v>
      </c>
      <c r="Y11" s="88">
        <f t="shared" si="15"/>
        <v>1.1428571428571428</v>
      </c>
      <c r="Z11" s="78">
        <v>0</v>
      </c>
      <c r="AA11" s="78">
        <v>0</v>
      </c>
      <c r="AB11" s="78">
        <v>0</v>
      </c>
      <c r="AC11" s="90">
        <v>3</v>
      </c>
      <c r="AD11" s="91">
        <f t="shared" si="11"/>
        <v>0.87749999999999995</v>
      </c>
      <c r="AE11" s="101" t="s">
        <v>38</v>
      </c>
      <c r="AF11" s="101" t="s">
        <v>38</v>
      </c>
      <c r="AG11" s="101" t="s">
        <v>38</v>
      </c>
      <c r="AH11" s="101" t="s">
        <v>38</v>
      </c>
      <c r="AI11" s="101" t="s">
        <v>38</v>
      </c>
      <c r="AJ11" s="93" t="s">
        <v>38</v>
      </c>
      <c r="AK11" s="93" t="s">
        <v>38</v>
      </c>
      <c r="AL11" s="93" t="s">
        <v>38</v>
      </c>
      <c r="AM11" s="93" t="s">
        <v>38</v>
      </c>
      <c r="AN11" s="93" t="s">
        <v>38</v>
      </c>
      <c r="AO11" s="94"/>
      <c r="AP11" s="63"/>
    </row>
    <row r="12" spans="1:42" s="10" customFormat="1" ht="21.95" customHeight="1" x14ac:dyDescent="0.2">
      <c r="A12" s="348"/>
      <c r="B12" s="262" t="s">
        <v>21</v>
      </c>
      <c r="C12" s="105" t="s">
        <v>38</v>
      </c>
      <c r="D12" s="105" t="s">
        <v>38</v>
      </c>
      <c r="E12" s="105">
        <v>2</v>
      </c>
      <c r="F12" s="105">
        <v>1</v>
      </c>
      <c r="G12" s="106" t="s">
        <v>38</v>
      </c>
      <c r="H12" s="76" t="s">
        <v>38</v>
      </c>
      <c r="I12" s="76">
        <v>1</v>
      </c>
      <c r="J12" s="76">
        <v>4</v>
      </c>
      <c r="K12" s="108">
        <f t="shared" si="2"/>
        <v>8</v>
      </c>
      <c r="L12" s="79">
        <v>0</v>
      </c>
      <c r="M12" s="236">
        <f t="shared" si="3"/>
        <v>8</v>
      </c>
      <c r="N12" s="98">
        <v>0</v>
      </c>
      <c r="O12" s="98">
        <v>70.361111111111114</v>
      </c>
      <c r="P12" s="82">
        <f t="shared" si="4"/>
        <v>70.361111111111114</v>
      </c>
      <c r="Q12" s="83">
        <f t="shared" si="5"/>
        <v>2.3453703703703703</v>
      </c>
      <c r="R12" s="84">
        <f t="shared" si="6"/>
        <v>73.879166666666663</v>
      </c>
      <c r="S12" s="83">
        <f t="shared" si="7"/>
        <v>2.4626388888888888</v>
      </c>
      <c r="T12" s="103">
        <v>194</v>
      </c>
      <c r="U12" s="85">
        <v>0</v>
      </c>
      <c r="V12" s="78">
        <f t="shared" si="8"/>
        <v>194</v>
      </c>
      <c r="W12" s="78">
        <f t="shared" si="12"/>
        <v>97</v>
      </c>
      <c r="X12" s="87">
        <f t="shared" si="14"/>
        <v>5.5428571428571427</v>
      </c>
      <c r="Y12" s="88">
        <f t="shared" si="15"/>
        <v>6.9285714285714288</v>
      </c>
      <c r="Z12" s="100">
        <f t="shared" si="9"/>
        <v>-5.6546296296296301</v>
      </c>
      <c r="AA12" s="100">
        <f t="shared" si="10"/>
        <v>-2.4571428571428573</v>
      </c>
      <c r="AB12" s="100">
        <f t="shared" si="13"/>
        <v>-1.0714285714285712</v>
      </c>
      <c r="AC12" s="90">
        <v>5</v>
      </c>
      <c r="AD12" s="91">
        <f t="shared" si="11"/>
        <v>2.3453703703703703</v>
      </c>
      <c r="AE12" s="101" t="s">
        <v>38</v>
      </c>
      <c r="AF12" s="101">
        <v>1</v>
      </c>
      <c r="AG12" s="101">
        <v>1</v>
      </c>
      <c r="AH12" s="101" t="s">
        <v>38</v>
      </c>
      <c r="AI12" s="101" t="s">
        <v>38</v>
      </c>
      <c r="AJ12" s="93" t="s">
        <v>38</v>
      </c>
      <c r="AK12" s="93" t="s">
        <v>38</v>
      </c>
      <c r="AL12" s="93" t="s">
        <v>38</v>
      </c>
      <c r="AM12" s="93" t="s">
        <v>38</v>
      </c>
      <c r="AN12" s="93" t="s">
        <v>38</v>
      </c>
      <c r="AO12" s="94"/>
      <c r="AP12" s="63"/>
    </row>
    <row r="13" spans="1:42" s="7" customFormat="1" ht="21.95" customHeight="1" x14ac:dyDescent="0.2">
      <c r="A13" s="348" t="s">
        <v>49</v>
      </c>
      <c r="B13" s="263" t="s">
        <v>19</v>
      </c>
      <c r="C13" s="75" t="s">
        <v>38</v>
      </c>
      <c r="D13" s="75" t="s">
        <v>38</v>
      </c>
      <c r="E13" s="75">
        <v>1</v>
      </c>
      <c r="F13" s="75" t="s">
        <v>38</v>
      </c>
      <c r="G13" s="76" t="s">
        <v>38</v>
      </c>
      <c r="H13" s="76" t="s">
        <v>38</v>
      </c>
      <c r="I13" s="76">
        <v>2</v>
      </c>
      <c r="J13" s="76" t="s">
        <v>38</v>
      </c>
      <c r="K13" s="108">
        <f t="shared" si="2"/>
        <v>3</v>
      </c>
      <c r="L13" s="79">
        <v>0</v>
      </c>
      <c r="M13" s="236">
        <f t="shared" si="3"/>
        <v>3</v>
      </c>
      <c r="N13" s="81">
        <v>0</v>
      </c>
      <c r="O13" s="81">
        <f>8.33333333333333*1.8</f>
        <v>14.999999999999995</v>
      </c>
      <c r="P13" s="82">
        <f t="shared" si="4"/>
        <v>14.999999999999995</v>
      </c>
      <c r="Q13" s="83">
        <f t="shared" si="5"/>
        <v>0.49999999999999983</v>
      </c>
      <c r="R13" s="84">
        <f t="shared" si="6"/>
        <v>15.749999999999995</v>
      </c>
      <c r="S13" s="83">
        <f t="shared" si="7"/>
        <v>0.5249999999999998</v>
      </c>
      <c r="T13" s="109">
        <v>0</v>
      </c>
      <c r="U13" s="86">
        <v>8</v>
      </c>
      <c r="V13" s="78">
        <f>SUM(U13:U13)</f>
        <v>8</v>
      </c>
      <c r="W13" s="78">
        <f t="shared" si="12"/>
        <v>4</v>
      </c>
      <c r="X13" s="87">
        <f t="shared" si="14"/>
        <v>0.22857142857142856</v>
      </c>
      <c r="Y13" s="88">
        <f t="shared" si="15"/>
        <v>0.2857142857142857</v>
      </c>
      <c r="Z13" s="89">
        <f t="shared" si="9"/>
        <v>-2.5</v>
      </c>
      <c r="AA13" s="89">
        <f t="shared" si="10"/>
        <v>-2.7714285714285714</v>
      </c>
      <c r="AB13" s="89">
        <f t="shared" si="13"/>
        <v>-2.7142857142857144</v>
      </c>
      <c r="AC13" s="90">
        <v>3</v>
      </c>
      <c r="AD13" s="91">
        <f t="shared" si="11"/>
        <v>0.49999999999999983</v>
      </c>
      <c r="AE13" s="92" t="s">
        <v>38</v>
      </c>
      <c r="AF13" s="92" t="s">
        <v>38</v>
      </c>
      <c r="AG13" s="92">
        <v>1</v>
      </c>
      <c r="AH13" s="92" t="s">
        <v>38</v>
      </c>
      <c r="AI13" s="92" t="s">
        <v>38</v>
      </c>
      <c r="AJ13" s="93" t="s">
        <v>38</v>
      </c>
      <c r="AK13" s="93" t="s">
        <v>38</v>
      </c>
      <c r="AL13" s="93" t="s">
        <v>38</v>
      </c>
      <c r="AM13" s="93" t="s">
        <v>38</v>
      </c>
      <c r="AN13" s="93" t="s">
        <v>38</v>
      </c>
      <c r="AO13" s="94"/>
      <c r="AP13" s="95"/>
    </row>
    <row r="14" spans="1:42" s="10" customFormat="1" ht="21.95" customHeight="1" x14ac:dyDescent="0.2">
      <c r="A14" s="348"/>
      <c r="B14" s="262" t="s">
        <v>21</v>
      </c>
      <c r="C14" s="75" t="s">
        <v>38</v>
      </c>
      <c r="D14" s="75" t="s">
        <v>38</v>
      </c>
      <c r="E14" s="75" t="s">
        <v>38</v>
      </c>
      <c r="F14" s="75" t="s">
        <v>38</v>
      </c>
      <c r="G14" s="76" t="s">
        <v>38</v>
      </c>
      <c r="H14" s="76" t="s">
        <v>38</v>
      </c>
      <c r="I14" s="76">
        <v>2</v>
      </c>
      <c r="J14" s="76">
        <v>4</v>
      </c>
      <c r="K14" s="108">
        <f t="shared" si="2"/>
        <v>6</v>
      </c>
      <c r="L14" s="79">
        <v>1</v>
      </c>
      <c r="M14" s="236">
        <f t="shared" si="3"/>
        <v>5</v>
      </c>
      <c r="N14" s="98">
        <v>93.472222222222229</v>
      </c>
      <c r="O14" s="98">
        <v>0</v>
      </c>
      <c r="P14" s="82">
        <f t="shared" si="4"/>
        <v>93.472222222222229</v>
      </c>
      <c r="Q14" s="83">
        <f t="shared" si="5"/>
        <v>3.1157407407407409</v>
      </c>
      <c r="R14" s="84">
        <f t="shared" si="6"/>
        <v>98.145833333333343</v>
      </c>
      <c r="S14" s="83">
        <f t="shared" si="7"/>
        <v>3.271527777777778</v>
      </c>
      <c r="T14" s="103">
        <v>271</v>
      </c>
      <c r="U14" s="85">
        <v>0</v>
      </c>
      <c r="V14" s="78">
        <f>SUM(T14:U14)</f>
        <v>271</v>
      </c>
      <c r="W14" s="78">
        <f t="shared" si="12"/>
        <v>135.5</v>
      </c>
      <c r="X14" s="87">
        <f t="shared" si="14"/>
        <v>7.7428571428571429</v>
      </c>
      <c r="Y14" s="88">
        <f t="shared" si="15"/>
        <v>9.6785714285714288</v>
      </c>
      <c r="Z14" s="100">
        <f t="shared" si="9"/>
        <v>-1.8842592592592591</v>
      </c>
      <c r="AA14" s="100">
        <f t="shared" si="10"/>
        <v>2.7428571428571429</v>
      </c>
      <c r="AB14" s="100">
        <f t="shared" si="13"/>
        <v>4.6785714285714288</v>
      </c>
      <c r="AC14" s="90">
        <v>5</v>
      </c>
      <c r="AD14" s="91">
        <f t="shared" si="11"/>
        <v>3.1157407407407409</v>
      </c>
      <c r="AE14" s="101" t="s">
        <v>38</v>
      </c>
      <c r="AF14" s="101" t="s">
        <v>38</v>
      </c>
      <c r="AG14" s="101" t="s">
        <v>38</v>
      </c>
      <c r="AH14" s="101" t="s">
        <v>38</v>
      </c>
      <c r="AI14" s="101" t="s">
        <v>38</v>
      </c>
      <c r="AJ14" s="93" t="s">
        <v>38</v>
      </c>
      <c r="AK14" s="93" t="s">
        <v>38</v>
      </c>
      <c r="AL14" s="93" t="s">
        <v>38</v>
      </c>
      <c r="AM14" s="93" t="s">
        <v>38</v>
      </c>
      <c r="AN14" s="93" t="s">
        <v>38</v>
      </c>
      <c r="AO14" s="94"/>
      <c r="AP14" s="63"/>
    </row>
    <row r="15" spans="1:42" s="7" customFormat="1" ht="21.95" customHeight="1" x14ac:dyDescent="0.2">
      <c r="A15" s="348" t="s">
        <v>50</v>
      </c>
      <c r="B15" s="263" t="s">
        <v>18</v>
      </c>
      <c r="C15" s="75" t="s">
        <v>38</v>
      </c>
      <c r="D15" s="75" t="s">
        <v>38</v>
      </c>
      <c r="E15" s="75">
        <v>1</v>
      </c>
      <c r="F15" s="75" t="s">
        <v>38</v>
      </c>
      <c r="G15" s="76" t="s">
        <v>38</v>
      </c>
      <c r="H15" s="76" t="s">
        <v>38</v>
      </c>
      <c r="I15" s="76" t="s">
        <v>38</v>
      </c>
      <c r="J15" s="76">
        <v>1</v>
      </c>
      <c r="K15" s="108">
        <f t="shared" si="2"/>
        <v>2</v>
      </c>
      <c r="L15" s="79">
        <v>0</v>
      </c>
      <c r="M15" s="236">
        <f t="shared" si="3"/>
        <v>2</v>
      </c>
      <c r="N15" s="81">
        <v>0</v>
      </c>
      <c r="O15" s="81">
        <f>31*1.8</f>
        <v>55.800000000000004</v>
      </c>
      <c r="P15" s="82">
        <f t="shared" si="4"/>
        <v>55.800000000000004</v>
      </c>
      <c r="Q15" s="83">
        <f t="shared" si="5"/>
        <v>1.86</v>
      </c>
      <c r="R15" s="84">
        <f t="shared" si="6"/>
        <v>58.59</v>
      </c>
      <c r="S15" s="83">
        <f t="shared" si="7"/>
        <v>1.9530000000000001</v>
      </c>
      <c r="T15" s="110"/>
      <c r="U15" s="86">
        <f>40</f>
        <v>40</v>
      </c>
      <c r="V15" s="85">
        <f>SUM(T15:U15)</f>
        <v>40</v>
      </c>
      <c r="W15" s="78">
        <f t="shared" si="12"/>
        <v>20</v>
      </c>
      <c r="X15" s="87">
        <f t="shared" si="14"/>
        <v>1.1428571428571428</v>
      </c>
      <c r="Y15" s="88">
        <f t="shared" si="15"/>
        <v>1.4285714285714286</v>
      </c>
      <c r="Z15" s="89">
        <f t="shared" si="9"/>
        <v>-0.1399999999999999</v>
      </c>
      <c r="AA15" s="89">
        <f t="shared" si="10"/>
        <v>-0.85714285714285721</v>
      </c>
      <c r="AB15" s="89">
        <f t="shared" si="13"/>
        <v>-0.5714285714285714</v>
      </c>
      <c r="AC15" s="90">
        <v>3</v>
      </c>
      <c r="AD15" s="91">
        <f t="shared" si="11"/>
        <v>1.86</v>
      </c>
      <c r="AE15" s="92">
        <v>1</v>
      </c>
      <c r="AF15" s="92" t="s">
        <v>38</v>
      </c>
      <c r="AG15" s="92" t="s">
        <v>38</v>
      </c>
      <c r="AH15" s="92" t="s">
        <v>38</v>
      </c>
      <c r="AI15" s="92" t="s">
        <v>38</v>
      </c>
      <c r="AJ15" s="93" t="s">
        <v>38</v>
      </c>
      <c r="AK15" s="93" t="s">
        <v>38</v>
      </c>
      <c r="AL15" s="93" t="s">
        <v>38</v>
      </c>
      <c r="AM15" s="93" t="s">
        <v>38</v>
      </c>
      <c r="AN15" s="93" t="s">
        <v>38</v>
      </c>
      <c r="AO15" s="94"/>
      <c r="AP15" s="95"/>
    </row>
    <row r="16" spans="1:42" s="10" customFormat="1" ht="21.95" customHeight="1" x14ac:dyDescent="0.2">
      <c r="A16" s="348"/>
      <c r="B16" s="262" t="s">
        <v>19</v>
      </c>
      <c r="C16" s="75" t="s">
        <v>38</v>
      </c>
      <c r="D16" s="75">
        <v>1</v>
      </c>
      <c r="E16" s="75">
        <v>2</v>
      </c>
      <c r="F16" s="75" t="s">
        <v>38</v>
      </c>
      <c r="G16" s="76" t="s">
        <v>38</v>
      </c>
      <c r="H16" s="76" t="s">
        <v>38</v>
      </c>
      <c r="I16" s="76">
        <v>1</v>
      </c>
      <c r="J16" s="76" t="s">
        <v>38</v>
      </c>
      <c r="K16" s="108">
        <f t="shared" si="2"/>
        <v>4</v>
      </c>
      <c r="L16" s="79">
        <v>0</v>
      </c>
      <c r="M16" s="236">
        <f t="shared" si="3"/>
        <v>4</v>
      </c>
      <c r="N16" s="98">
        <v>0</v>
      </c>
      <c r="O16" s="98">
        <f>54.4166666666667*1.8</f>
        <v>97.95000000000006</v>
      </c>
      <c r="P16" s="82">
        <f t="shared" si="4"/>
        <v>97.95000000000006</v>
      </c>
      <c r="Q16" s="83">
        <f t="shared" si="5"/>
        <v>3.2650000000000019</v>
      </c>
      <c r="R16" s="84">
        <f t="shared" si="6"/>
        <v>102.84750000000007</v>
      </c>
      <c r="S16" s="83">
        <f t="shared" si="7"/>
        <v>3.4282500000000025</v>
      </c>
      <c r="T16" s="111">
        <f>38+228</f>
        <v>266</v>
      </c>
      <c r="U16" s="86">
        <f>42</f>
        <v>42</v>
      </c>
      <c r="V16" s="85">
        <f>SUM(T16:U16)</f>
        <v>308</v>
      </c>
      <c r="W16" s="78">
        <f t="shared" si="12"/>
        <v>154</v>
      </c>
      <c r="X16" s="87">
        <f t="shared" si="14"/>
        <v>8.8000000000000007</v>
      </c>
      <c r="Y16" s="88">
        <f t="shared" si="15"/>
        <v>11</v>
      </c>
      <c r="Z16" s="100">
        <f t="shared" si="9"/>
        <v>-0.7349999999999981</v>
      </c>
      <c r="AA16" s="100">
        <f t="shared" si="10"/>
        <v>4.8000000000000007</v>
      </c>
      <c r="AB16" s="100">
        <f t="shared" si="13"/>
        <v>7</v>
      </c>
      <c r="AC16" s="90">
        <v>3</v>
      </c>
      <c r="AD16" s="91">
        <f t="shared" si="11"/>
        <v>3.2650000000000019</v>
      </c>
      <c r="AE16" s="101" t="s">
        <v>38</v>
      </c>
      <c r="AF16" s="101" t="s">
        <v>38</v>
      </c>
      <c r="AG16" s="101" t="s">
        <v>38</v>
      </c>
      <c r="AH16" s="101" t="s">
        <v>38</v>
      </c>
      <c r="AI16" s="101" t="s">
        <v>38</v>
      </c>
      <c r="AJ16" s="93" t="s">
        <v>38</v>
      </c>
      <c r="AK16" s="93" t="s">
        <v>38</v>
      </c>
      <c r="AL16" s="93" t="s">
        <v>38</v>
      </c>
      <c r="AM16" s="93" t="s">
        <v>38</v>
      </c>
      <c r="AN16" s="93" t="s">
        <v>38</v>
      </c>
      <c r="AO16" s="94"/>
      <c r="AP16" s="63"/>
    </row>
    <row r="17" spans="1:42" s="7" customFormat="1" ht="21.95" customHeight="1" x14ac:dyDescent="0.2">
      <c r="A17" s="73" t="s">
        <v>51</v>
      </c>
      <c r="B17" s="263" t="s">
        <v>21</v>
      </c>
      <c r="C17" s="75" t="s">
        <v>38</v>
      </c>
      <c r="D17" s="75" t="s">
        <v>38</v>
      </c>
      <c r="E17" s="75">
        <v>1</v>
      </c>
      <c r="F17" s="75" t="s">
        <v>38</v>
      </c>
      <c r="G17" s="76" t="s">
        <v>38</v>
      </c>
      <c r="H17" s="76" t="s">
        <v>38</v>
      </c>
      <c r="I17" s="76">
        <v>2</v>
      </c>
      <c r="J17" s="77">
        <v>4</v>
      </c>
      <c r="K17" s="78">
        <f t="shared" si="2"/>
        <v>7</v>
      </c>
      <c r="L17" s="79">
        <v>0</v>
      </c>
      <c r="M17" s="236">
        <f t="shared" si="3"/>
        <v>7</v>
      </c>
      <c r="N17" s="98">
        <v>224.63888888888889</v>
      </c>
      <c r="O17" s="98">
        <v>0</v>
      </c>
      <c r="P17" s="82">
        <f t="shared" si="4"/>
        <v>224.63888888888889</v>
      </c>
      <c r="Q17" s="83">
        <f t="shared" si="5"/>
        <v>7.4879629629629632</v>
      </c>
      <c r="R17" s="84">
        <f t="shared" si="6"/>
        <v>235.87083333333334</v>
      </c>
      <c r="S17" s="83">
        <f t="shared" si="7"/>
        <v>7.8623611111111114</v>
      </c>
      <c r="T17" s="103">
        <f>238+112</f>
        <v>350</v>
      </c>
      <c r="U17" s="85">
        <v>0</v>
      </c>
      <c r="V17" s="78">
        <f>SUM(T17:U17)</f>
        <v>350</v>
      </c>
      <c r="W17" s="78">
        <f t="shared" si="12"/>
        <v>175</v>
      </c>
      <c r="X17" s="87">
        <f t="shared" si="14"/>
        <v>10</v>
      </c>
      <c r="Y17" s="88">
        <f t="shared" si="15"/>
        <v>12.5</v>
      </c>
      <c r="Z17" s="89">
        <f t="shared" si="9"/>
        <v>0.48796296296296315</v>
      </c>
      <c r="AA17" s="89">
        <f t="shared" si="10"/>
        <v>3</v>
      </c>
      <c r="AB17" s="89">
        <f t="shared" si="13"/>
        <v>5.5</v>
      </c>
      <c r="AC17" s="90">
        <v>5</v>
      </c>
      <c r="AD17" s="91">
        <f t="shared" si="11"/>
        <v>7.4879629629629632</v>
      </c>
      <c r="AE17" s="92" t="s">
        <v>38</v>
      </c>
      <c r="AF17" s="92" t="s">
        <v>38</v>
      </c>
      <c r="AG17" s="92" t="s">
        <v>38</v>
      </c>
      <c r="AH17" s="92" t="s">
        <v>38</v>
      </c>
      <c r="AI17" s="92" t="s">
        <v>38</v>
      </c>
      <c r="AJ17" s="93" t="s">
        <v>38</v>
      </c>
      <c r="AK17" s="93" t="s">
        <v>38</v>
      </c>
      <c r="AL17" s="93" t="s">
        <v>38</v>
      </c>
      <c r="AM17" s="93" t="s">
        <v>38</v>
      </c>
      <c r="AN17" s="93" t="s">
        <v>38</v>
      </c>
      <c r="AO17" s="94"/>
      <c r="AP17" s="95"/>
    </row>
    <row r="18" spans="1:42" s="10" customFormat="1" ht="21.95" customHeight="1" x14ac:dyDescent="0.2">
      <c r="A18" s="112" t="s">
        <v>52</v>
      </c>
      <c r="B18" s="262" t="s">
        <v>19</v>
      </c>
      <c r="C18" s="96" t="s">
        <v>38</v>
      </c>
      <c r="D18" s="96">
        <v>1</v>
      </c>
      <c r="E18" s="96">
        <v>4</v>
      </c>
      <c r="F18" s="96" t="s">
        <v>38</v>
      </c>
      <c r="G18" s="97" t="s">
        <v>38</v>
      </c>
      <c r="H18" s="97" t="s">
        <v>38</v>
      </c>
      <c r="I18" s="97">
        <v>1</v>
      </c>
      <c r="J18" s="97">
        <v>2</v>
      </c>
      <c r="K18" s="78">
        <f t="shared" si="2"/>
        <v>8</v>
      </c>
      <c r="L18" s="79">
        <v>0</v>
      </c>
      <c r="M18" s="236">
        <f t="shared" si="3"/>
        <v>8</v>
      </c>
      <c r="N18" s="98">
        <v>0</v>
      </c>
      <c r="O18" s="98">
        <f>10.875*1.8</f>
        <v>19.574999999999999</v>
      </c>
      <c r="P18" s="82">
        <f t="shared" si="4"/>
        <v>19.574999999999999</v>
      </c>
      <c r="Q18" s="83">
        <f t="shared" si="5"/>
        <v>0.65249999999999997</v>
      </c>
      <c r="R18" s="84">
        <f t="shared" si="6"/>
        <v>20.553750000000001</v>
      </c>
      <c r="S18" s="83">
        <f t="shared" si="7"/>
        <v>0.68512499999999998</v>
      </c>
      <c r="T18" s="111">
        <v>104</v>
      </c>
      <c r="U18" s="85">
        <v>6</v>
      </c>
      <c r="V18" s="78">
        <f>SUM(T18:U18)</f>
        <v>110</v>
      </c>
      <c r="W18" s="78">
        <f t="shared" si="12"/>
        <v>55</v>
      </c>
      <c r="X18" s="87">
        <f t="shared" si="14"/>
        <v>3.1428571428571428</v>
      </c>
      <c r="Y18" s="88">
        <f t="shared" si="15"/>
        <v>3.9285714285714284</v>
      </c>
      <c r="Z18" s="100">
        <f t="shared" si="9"/>
        <v>-7.3475000000000001</v>
      </c>
      <c r="AA18" s="100">
        <f t="shared" si="10"/>
        <v>-4.8571428571428577</v>
      </c>
      <c r="AB18" s="100">
        <f t="shared" si="13"/>
        <v>-4.0714285714285712</v>
      </c>
      <c r="AC18" s="90">
        <v>3</v>
      </c>
      <c r="AD18" s="91">
        <f t="shared" si="11"/>
        <v>0.65249999999999997</v>
      </c>
      <c r="AE18" s="101" t="s">
        <v>38</v>
      </c>
      <c r="AF18" s="101" t="s">
        <v>38</v>
      </c>
      <c r="AG18" s="101" t="s">
        <v>38</v>
      </c>
      <c r="AH18" s="101" t="s">
        <v>38</v>
      </c>
      <c r="AI18" s="101" t="s">
        <v>38</v>
      </c>
      <c r="AJ18" s="93" t="s">
        <v>38</v>
      </c>
      <c r="AK18" s="93" t="s">
        <v>38</v>
      </c>
      <c r="AL18" s="93" t="s">
        <v>38</v>
      </c>
      <c r="AM18" s="93" t="s">
        <v>38</v>
      </c>
      <c r="AN18" s="93" t="s">
        <v>38</v>
      </c>
      <c r="AO18" s="94"/>
      <c r="AP18" s="63"/>
    </row>
    <row r="19" spans="1:42" s="10" customFormat="1" ht="21.95" customHeight="1" x14ac:dyDescent="0.2">
      <c r="A19" s="112" t="s">
        <v>53</v>
      </c>
      <c r="B19" s="262"/>
      <c r="C19" s="96" t="s">
        <v>38</v>
      </c>
      <c r="D19" s="96" t="s">
        <v>38</v>
      </c>
      <c r="E19" s="96" t="s">
        <v>38</v>
      </c>
      <c r="F19" s="96" t="s">
        <v>38</v>
      </c>
      <c r="G19" s="97" t="s">
        <v>38</v>
      </c>
      <c r="H19" s="97" t="s">
        <v>38</v>
      </c>
      <c r="I19" s="97" t="s">
        <v>38</v>
      </c>
      <c r="J19" s="97" t="s">
        <v>38</v>
      </c>
      <c r="K19" s="78"/>
      <c r="L19" s="79">
        <v>0</v>
      </c>
      <c r="M19" s="236">
        <f t="shared" si="3"/>
        <v>0</v>
      </c>
      <c r="N19" s="98"/>
      <c r="O19" s="98" t="s">
        <v>38</v>
      </c>
      <c r="P19" s="82">
        <f t="shared" si="4"/>
        <v>0</v>
      </c>
      <c r="Q19" s="113" t="s">
        <v>38</v>
      </c>
      <c r="R19" s="114" t="s">
        <v>38</v>
      </c>
      <c r="S19" s="113" t="s">
        <v>38</v>
      </c>
      <c r="T19" s="115" t="s">
        <v>38</v>
      </c>
      <c r="U19" s="115" t="s">
        <v>38</v>
      </c>
      <c r="V19" s="115" t="s">
        <v>38</v>
      </c>
      <c r="W19" s="115" t="s">
        <v>38</v>
      </c>
      <c r="X19" s="116" t="s">
        <v>38</v>
      </c>
      <c r="Y19" s="117" t="s">
        <v>38</v>
      </c>
      <c r="Z19" s="118" t="s">
        <v>38</v>
      </c>
      <c r="AA19" s="118" t="s">
        <v>38</v>
      </c>
      <c r="AB19" s="118" t="s">
        <v>38</v>
      </c>
      <c r="AC19" s="90" t="s">
        <v>38</v>
      </c>
      <c r="AD19" s="119" t="s">
        <v>38</v>
      </c>
      <c r="AE19" s="120" t="s">
        <v>38</v>
      </c>
      <c r="AF19" s="120" t="s">
        <v>38</v>
      </c>
      <c r="AG19" s="120" t="s">
        <v>38</v>
      </c>
      <c r="AH19" s="120" t="s">
        <v>38</v>
      </c>
      <c r="AI19" s="120" t="s">
        <v>38</v>
      </c>
      <c r="AJ19" s="121" t="s">
        <v>38</v>
      </c>
      <c r="AK19" s="121" t="s">
        <v>38</v>
      </c>
      <c r="AL19" s="121" t="s">
        <v>38</v>
      </c>
      <c r="AM19" s="121" t="s">
        <v>38</v>
      </c>
      <c r="AN19" s="121" t="s">
        <v>38</v>
      </c>
      <c r="AO19" s="94"/>
      <c r="AP19" s="63"/>
    </row>
    <row r="20" spans="1:42" s="9" customFormat="1" ht="21.95" customHeight="1" x14ac:dyDescent="0.2">
      <c r="A20" s="64" t="s">
        <v>54</v>
      </c>
      <c r="B20" s="264"/>
      <c r="C20" s="122">
        <f>SUM(C21:C45)</f>
        <v>0</v>
      </c>
      <c r="D20" s="122">
        <f t="shared" ref="D20:AO20" si="16">SUM(D21:D45)</f>
        <v>2</v>
      </c>
      <c r="E20" s="122">
        <f t="shared" si="16"/>
        <v>15</v>
      </c>
      <c r="F20" s="122">
        <f t="shared" si="16"/>
        <v>5</v>
      </c>
      <c r="G20" s="122">
        <f t="shared" si="16"/>
        <v>0</v>
      </c>
      <c r="H20" s="122">
        <f t="shared" si="16"/>
        <v>0</v>
      </c>
      <c r="I20" s="122">
        <f t="shared" si="16"/>
        <v>48</v>
      </c>
      <c r="J20" s="122">
        <f t="shared" si="16"/>
        <v>85</v>
      </c>
      <c r="K20" s="122">
        <f t="shared" si="16"/>
        <v>155</v>
      </c>
      <c r="L20" s="122">
        <f t="shared" si="16"/>
        <v>3</v>
      </c>
      <c r="M20" s="122">
        <f t="shared" si="16"/>
        <v>152</v>
      </c>
      <c r="N20" s="235">
        <f t="shared" si="16"/>
        <v>3730.6550000000002</v>
      </c>
      <c r="O20" s="122">
        <f t="shared" si="16"/>
        <v>90</v>
      </c>
      <c r="P20" s="235">
        <f t="shared" si="16"/>
        <v>3820.6550000000002</v>
      </c>
      <c r="Q20" s="122">
        <f t="shared" si="16"/>
        <v>159.24203518518522</v>
      </c>
      <c r="R20" s="235">
        <f t="shared" si="16"/>
        <v>4011.6877500000005</v>
      </c>
      <c r="S20" s="122">
        <f t="shared" si="16"/>
        <v>167.2041369444444</v>
      </c>
      <c r="T20" s="255">
        <f t="shared" si="16"/>
        <v>5357</v>
      </c>
      <c r="U20" s="255">
        <f t="shared" si="16"/>
        <v>155</v>
      </c>
      <c r="V20" s="255">
        <f t="shared" si="16"/>
        <v>5512</v>
      </c>
      <c r="W20" s="255">
        <f t="shared" si="16"/>
        <v>2756</v>
      </c>
      <c r="X20" s="122">
        <f t="shared" si="16"/>
        <v>157.48571428571429</v>
      </c>
      <c r="Y20" s="122">
        <f t="shared" si="16"/>
        <v>196.85714285714289</v>
      </c>
      <c r="Z20" s="122">
        <f t="shared" si="16"/>
        <v>9.2420351851851823</v>
      </c>
      <c r="AA20" s="122">
        <f t="shared" si="16"/>
        <v>7.485714285714284</v>
      </c>
      <c r="AB20" s="122">
        <f t="shared" si="16"/>
        <v>46.857142857142854</v>
      </c>
      <c r="AC20" s="122">
        <f t="shared" si="16"/>
        <v>112</v>
      </c>
      <c r="AD20" s="122">
        <f t="shared" si="16"/>
        <v>23.072870370370371</v>
      </c>
      <c r="AE20" s="122">
        <f t="shared" si="16"/>
        <v>3</v>
      </c>
      <c r="AF20" s="122">
        <f t="shared" si="16"/>
        <v>2</v>
      </c>
      <c r="AG20" s="122">
        <f t="shared" si="16"/>
        <v>2</v>
      </c>
      <c r="AH20" s="122">
        <f t="shared" si="16"/>
        <v>2</v>
      </c>
      <c r="AI20" s="122">
        <f t="shared" si="16"/>
        <v>5</v>
      </c>
      <c r="AJ20" s="122">
        <f t="shared" si="16"/>
        <v>0</v>
      </c>
      <c r="AK20" s="122">
        <f t="shared" si="16"/>
        <v>2</v>
      </c>
      <c r="AL20" s="122">
        <f t="shared" si="16"/>
        <v>0</v>
      </c>
      <c r="AM20" s="122">
        <f t="shared" si="16"/>
        <v>0</v>
      </c>
      <c r="AN20" s="122">
        <f t="shared" si="16"/>
        <v>0</v>
      </c>
      <c r="AO20" s="122">
        <f t="shared" si="16"/>
        <v>0</v>
      </c>
      <c r="AP20" s="72"/>
    </row>
    <row r="21" spans="1:42" s="7" customFormat="1" ht="21.95" customHeight="1" x14ac:dyDescent="0.2">
      <c r="A21" s="123" t="s">
        <v>55</v>
      </c>
      <c r="B21" s="263" t="s">
        <v>21</v>
      </c>
      <c r="C21" s="96" t="s">
        <v>38</v>
      </c>
      <c r="D21" s="96" t="s">
        <v>38</v>
      </c>
      <c r="E21" s="96" t="s">
        <v>38</v>
      </c>
      <c r="F21" s="96" t="s">
        <v>38</v>
      </c>
      <c r="G21" s="97" t="s">
        <v>38</v>
      </c>
      <c r="H21" s="97" t="s">
        <v>38</v>
      </c>
      <c r="I21" s="97">
        <v>3</v>
      </c>
      <c r="J21" s="97">
        <v>4</v>
      </c>
      <c r="K21" s="78">
        <f t="shared" ref="K21:K44" si="17">SUM(D21:J21)</f>
        <v>7</v>
      </c>
      <c r="L21" s="79">
        <v>0</v>
      </c>
      <c r="M21" s="218">
        <f t="shared" ref="M21:M44" si="18">K21-L21</f>
        <v>7</v>
      </c>
      <c r="N21" s="81">
        <v>122.47222222222223</v>
      </c>
      <c r="O21" s="81">
        <v>0</v>
      </c>
      <c r="P21" s="82">
        <f>SUM(N21:N21)</f>
        <v>122.47222222222223</v>
      </c>
      <c r="Q21" s="83">
        <f>P21/30</f>
        <v>4.0824074074074073</v>
      </c>
      <c r="R21" s="84">
        <f t="shared" ref="R21:R83" si="19">(P21*0.05)+P21</f>
        <v>128.59583333333333</v>
      </c>
      <c r="S21" s="83">
        <f>R21/30</f>
        <v>4.2865277777777777</v>
      </c>
      <c r="T21" s="125">
        <v>516</v>
      </c>
      <c r="U21" s="85">
        <v>0</v>
      </c>
      <c r="V21" s="126">
        <f t="shared" ref="V21:V29" si="20">SUM(T21:U21)</f>
        <v>516</v>
      </c>
      <c r="W21" s="78">
        <f t="shared" si="12"/>
        <v>258</v>
      </c>
      <c r="X21" s="87">
        <f t="shared" ref="X21:X72" si="21">V21/35</f>
        <v>14.742857142857142</v>
      </c>
      <c r="Y21" s="88">
        <f t="shared" si="15"/>
        <v>18.428571428571427</v>
      </c>
      <c r="Z21" s="89">
        <f t="shared" ref="Z21:Z33" si="22">Q21-M21</f>
        <v>-2.9175925925925927</v>
      </c>
      <c r="AA21" s="89">
        <f t="shared" ref="AA21:AA33" si="23">X21-M21</f>
        <v>7.742857142857142</v>
      </c>
      <c r="AB21" s="89">
        <f t="shared" si="13"/>
        <v>11.428571428571427</v>
      </c>
      <c r="AC21" s="90">
        <v>5</v>
      </c>
      <c r="AD21" s="91">
        <f>P21/30</f>
        <v>4.0824074074074073</v>
      </c>
      <c r="AE21" s="92" t="s">
        <v>38</v>
      </c>
      <c r="AF21" s="92" t="s">
        <v>38</v>
      </c>
      <c r="AG21" s="92" t="s">
        <v>38</v>
      </c>
      <c r="AH21" s="92" t="s">
        <v>38</v>
      </c>
      <c r="AI21" s="92" t="s">
        <v>38</v>
      </c>
      <c r="AJ21" s="93" t="s">
        <v>38</v>
      </c>
      <c r="AK21" s="93" t="s">
        <v>38</v>
      </c>
      <c r="AL21" s="93" t="s">
        <v>38</v>
      </c>
      <c r="AM21" s="93" t="s">
        <v>38</v>
      </c>
      <c r="AN21" s="93" t="s">
        <v>38</v>
      </c>
      <c r="AO21" s="94"/>
      <c r="AP21" s="95"/>
    </row>
    <row r="22" spans="1:42" s="7" customFormat="1" ht="21.95" customHeight="1" x14ac:dyDescent="0.2">
      <c r="A22" s="127" t="s">
        <v>56</v>
      </c>
      <c r="B22" s="263" t="s">
        <v>22</v>
      </c>
      <c r="C22" s="75" t="s">
        <v>38</v>
      </c>
      <c r="D22" s="75">
        <v>1</v>
      </c>
      <c r="E22" s="75">
        <v>1</v>
      </c>
      <c r="F22" s="75" t="s">
        <v>38</v>
      </c>
      <c r="G22" s="76" t="s">
        <v>38</v>
      </c>
      <c r="H22" s="76" t="s">
        <v>38</v>
      </c>
      <c r="I22" s="76">
        <v>2</v>
      </c>
      <c r="J22" s="77">
        <v>3</v>
      </c>
      <c r="K22" s="78">
        <f t="shared" si="17"/>
        <v>7</v>
      </c>
      <c r="L22" s="79">
        <v>0</v>
      </c>
      <c r="M22" s="218">
        <f t="shared" si="18"/>
        <v>7</v>
      </c>
      <c r="N22" s="81">
        <v>50.861111111111114</v>
      </c>
      <c r="O22" s="81">
        <v>0</v>
      </c>
      <c r="P22" s="82">
        <f>SUM(N22:N22)</f>
        <v>50.861111111111114</v>
      </c>
      <c r="Q22" s="83">
        <f>P22/8</f>
        <v>6.3576388888888893</v>
      </c>
      <c r="R22" s="84">
        <f t="shared" si="19"/>
        <v>53.404166666666669</v>
      </c>
      <c r="S22" s="83">
        <f>R22/8</f>
        <v>6.6755208333333336</v>
      </c>
      <c r="T22" s="125">
        <v>233</v>
      </c>
      <c r="U22" s="85">
        <v>0</v>
      </c>
      <c r="V22" s="126">
        <f t="shared" si="20"/>
        <v>233</v>
      </c>
      <c r="W22" s="78">
        <f t="shared" si="12"/>
        <v>116.5</v>
      </c>
      <c r="X22" s="87">
        <f t="shared" si="21"/>
        <v>6.6571428571428575</v>
      </c>
      <c r="Y22" s="88">
        <f t="shared" si="15"/>
        <v>8.3214285714285712</v>
      </c>
      <c r="Z22" s="89">
        <f t="shared" si="22"/>
        <v>-0.64236111111111072</v>
      </c>
      <c r="AA22" s="89">
        <f t="shared" si="23"/>
        <v>-0.34285714285714253</v>
      </c>
      <c r="AB22" s="89">
        <f t="shared" si="13"/>
        <v>1.3214285714285712</v>
      </c>
      <c r="AC22" s="90">
        <v>5</v>
      </c>
      <c r="AD22" s="128" t="s">
        <v>38</v>
      </c>
      <c r="AE22" s="92" t="s">
        <v>38</v>
      </c>
      <c r="AF22" s="92" t="s">
        <v>38</v>
      </c>
      <c r="AG22" s="92" t="s">
        <v>38</v>
      </c>
      <c r="AH22" s="92" t="s">
        <v>38</v>
      </c>
      <c r="AI22" s="92" t="s">
        <v>38</v>
      </c>
      <c r="AJ22" s="93" t="s">
        <v>38</v>
      </c>
      <c r="AK22" s="93" t="s">
        <v>38</v>
      </c>
      <c r="AL22" s="93" t="s">
        <v>38</v>
      </c>
      <c r="AM22" s="93" t="s">
        <v>38</v>
      </c>
      <c r="AN22" s="93" t="s">
        <v>38</v>
      </c>
      <c r="AO22" s="94"/>
      <c r="AP22" s="95"/>
    </row>
    <row r="23" spans="1:42" s="7" customFormat="1" ht="21.95" customHeight="1" x14ac:dyDescent="0.2">
      <c r="A23" s="127" t="s">
        <v>57</v>
      </c>
      <c r="B23" s="263" t="s">
        <v>21</v>
      </c>
      <c r="C23" s="96" t="s">
        <v>38</v>
      </c>
      <c r="D23" s="96" t="s">
        <v>38</v>
      </c>
      <c r="E23" s="96">
        <v>1</v>
      </c>
      <c r="F23" s="96" t="s">
        <v>38</v>
      </c>
      <c r="G23" s="97" t="s">
        <v>38</v>
      </c>
      <c r="H23" s="97" t="s">
        <v>38</v>
      </c>
      <c r="I23" s="97">
        <v>6</v>
      </c>
      <c r="J23" s="97">
        <v>1</v>
      </c>
      <c r="K23" s="78">
        <f t="shared" si="17"/>
        <v>8</v>
      </c>
      <c r="L23" s="79">
        <v>0</v>
      </c>
      <c r="M23" s="218">
        <f t="shared" si="18"/>
        <v>8</v>
      </c>
      <c r="N23" s="81">
        <v>154.83333333333334</v>
      </c>
      <c r="O23" s="81">
        <v>0</v>
      </c>
      <c r="P23" s="82">
        <f>SUM(N23:N23)</f>
        <v>154.83333333333334</v>
      </c>
      <c r="Q23" s="83">
        <f>P23/30</f>
        <v>5.1611111111111114</v>
      </c>
      <c r="R23" s="84">
        <f t="shared" si="19"/>
        <v>162.57500000000002</v>
      </c>
      <c r="S23" s="83">
        <f>R23/30</f>
        <v>5.4191666666666674</v>
      </c>
      <c r="T23" s="125">
        <v>210</v>
      </c>
      <c r="U23" s="85">
        <v>0</v>
      </c>
      <c r="V23" s="126">
        <f t="shared" si="20"/>
        <v>210</v>
      </c>
      <c r="W23" s="78">
        <f t="shared" si="12"/>
        <v>105</v>
      </c>
      <c r="X23" s="87">
        <f t="shared" si="21"/>
        <v>6</v>
      </c>
      <c r="Y23" s="88">
        <f t="shared" si="15"/>
        <v>7.5</v>
      </c>
      <c r="Z23" s="89">
        <f t="shared" si="22"/>
        <v>-2.8388888888888886</v>
      </c>
      <c r="AA23" s="89">
        <f t="shared" si="23"/>
        <v>-2</v>
      </c>
      <c r="AB23" s="89">
        <f t="shared" si="13"/>
        <v>-0.5</v>
      </c>
      <c r="AC23" s="90">
        <v>5</v>
      </c>
      <c r="AD23" s="91">
        <f>P23/30</f>
        <v>5.1611111111111114</v>
      </c>
      <c r="AE23" s="92" t="s">
        <v>38</v>
      </c>
      <c r="AF23" s="92" t="s">
        <v>38</v>
      </c>
      <c r="AG23" s="92" t="s">
        <v>38</v>
      </c>
      <c r="AH23" s="92" t="s">
        <v>38</v>
      </c>
      <c r="AI23" s="92" t="s">
        <v>38</v>
      </c>
      <c r="AJ23" s="93" t="s">
        <v>38</v>
      </c>
      <c r="AK23" s="93" t="s">
        <v>38</v>
      </c>
      <c r="AL23" s="93" t="s">
        <v>38</v>
      </c>
      <c r="AM23" s="93" t="s">
        <v>38</v>
      </c>
      <c r="AN23" s="93" t="s">
        <v>38</v>
      </c>
      <c r="AO23" s="94"/>
      <c r="AP23" s="95"/>
    </row>
    <row r="24" spans="1:42" s="7" customFormat="1" ht="21.95" customHeight="1" x14ac:dyDescent="0.55000000000000004">
      <c r="A24" s="129" t="s">
        <v>58</v>
      </c>
      <c r="B24" s="263" t="s">
        <v>23</v>
      </c>
      <c r="C24" s="75" t="s">
        <v>38</v>
      </c>
      <c r="D24" s="75" t="s">
        <v>38</v>
      </c>
      <c r="E24" s="75">
        <v>1</v>
      </c>
      <c r="F24" s="75" t="s">
        <v>38</v>
      </c>
      <c r="G24" s="76" t="s">
        <v>38</v>
      </c>
      <c r="H24" s="76" t="s">
        <v>38</v>
      </c>
      <c r="I24" s="76">
        <v>4</v>
      </c>
      <c r="J24" s="77">
        <v>3</v>
      </c>
      <c r="K24" s="78">
        <f t="shared" si="17"/>
        <v>8</v>
      </c>
      <c r="L24" s="79">
        <v>0</v>
      </c>
      <c r="M24" s="218">
        <f t="shared" si="18"/>
        <v>8</v>
      </c>
      <c r="N24" s="81">
        <v>399.78</v>
      </c>
      <c r="O24" s="81">
        <v>0</v>
      </c>
      <c r="P24" s="82">
        <f>SUM(N24:N24)</f>
        <v>399.78</v>
      </c>
      <c r="Q24" s="83">
        <f>P24/50</f>
        <v>7.9955999999999996</v>
      </c>
      <c r="R24" s="84">
        <f t="shared" si="19"/>
        <v>419.76899999999995</v>
      </c>
      <c r="S24" s="83">
        <f>R24/50</f>
        <v>8.3953799999999994</v>
      </c>
      <c r="T24" s="125">
        <v>194</v>
      </c>
      <c r="U24" s="85">
        <v>0</v>
      </c>
      <c r="V24" s="126">
        <f t="shared" si="20"/>
        <v>194</v>
      </c>
      <c r="W24" s="78">
        <f t="shared" si="12"/>
        <v>97</v>
      </c>
      <c r="X24" s="87">
        <f t="shared" si="21"/>
        <v>5.5428571428571427</v>
      </c>
      <c r="Y24" s="88">
        <f t="shared" si="15"/>
        <v>6.9285714285714288</v>
      </c>
      <c r="Z24" s="89">
        <f t="shared" si="22"/>
        <v>-4.4000000000004036E-3</v>
      </c>
      <c r="AA24" s="89">
        <f t="shared" si="23"/>
        <v>-2.4571428571428573</v>
      </c>
      <c r="AB24" s="89">
        <f t="shared" si="13"/>
        <v>-1.0714285714285712</v>
      </c>
      <c r="AC24" s="90">
        <v>5</v>
      </c>
      <c r="AD24" s="128" t="s">
        <v>38</v>
      </c>
      <c r="AE24" s="92" t="s">
        <v>38</v>
      </c>
      <c r="AF24" s="92" t="s">
        <v>38</v>
      </c>
      <c r="AG24" s="92" t="s">
        <v>38</v>
      </c>
      <c r="AH24" s="92" t="s">
        <v>38</v>
      </c>
      <c r="AI24" s="92">
        <v>1</v>
      </c>
      <c r="AJ24" s="93" t="s">
        <v>38</v>
      </c>
      <c r="AK24" s="93" t="s">
        <v>38</v>
      </c>
      <c r="AL24" s="93" t="s">
        <v>38</v>
      </c>
      <c r="AM24" s="93" t="s">
        <v>38</v>
      </c>
      <c r="AN24" s="93" t="s">
        <v>38</v>
      </c>
      <c r="AO24" s="94"/>
      <c r="AP24" s="95"/>
    </row>
    <row r="25" spans="1:42" s="7" customFormat="1" ht="21.95" customHeight="1" x14ac:dyDescent="0.2">
      <c r="A25" s="123" t="s">
        <v>59</v>
      </c>
      <c r="B25" s="263" t="s">
        <v>24</v>
      </c>
      <c r="C25" s="75" t="s">
        <v>38</v>
      </c>
      <c r="D25" s="75" t="s">
        <v>38</v>
      </c>
      <c r="E25" s="75">
        <v>2</v>
      </c>
      <c r="F25" s="75" t="s">
        <v>38</v>
      </c>
      <c r="G25" s="76" t="s">
        <v>38</v>
      </c>
      <c r="H25" s="76" t="s">
        <v>38</v>
      </c>
      <c r="I25" s="76">
        <v>2</v>
      </c>
      <c r="J25" s="77">
        <v>1</v>
      </c>
      <c r="K25" s="78">
        <f t="shared" si="17"/>
        <v>5</v>
      </c>
      <c r="L25" s="79">
        <v>0</v>
      </c>
      <c r="M25" s="218">
        <f t="shared" si="18"/>
        <v>5</v>
      </c>
      <c r="N25" s="81">
        <v>60.5</v>
      </c>
      <c r="O25" s="81">
        <v>0</v>
      </c>
      <c r="P25" s="82">
        <f>SUM(N25:N25)</f>
        <v>60.5</v>
      </c>
      <c r="Q25" s="83">
        <f>P25/8</f>
        <v>7.5625</v>
      </c>
      <c r="R25" s="84">
        <f t="shared" si="19"/>
        <v>63.524999999999999</v>
      </c>
      <c r="S25" s="83">
        <f>R25/8</f>
        <v>7.9406249999999998</v>
      </c>
      <c r="T25" s="103">
        <v>113</v>
      </c>
      <c r="U25" s="85">
        <v>0</v>
      </c>
      <c r="V25" s="78">
        <f t="shared" si="20"/>
        <v>113</v>
      </c>
      <c r="W25" s="78">
        <f t="shared" si="12"/>
        <v>56.5</v>
      </c>
      <c r="X25" s="87">
        <f t="shared" si="21"/>
        <v>3.2285714285714286</v>
      </c>
      <c r="Y25" s="88">
        <f t="shared" si="15"/>
        <v>4.0357142857142856</v>
      </c>
      <c r="Z25" s="89">
        <f t="shared" si="22"/>
        <v>2.5625</v>
      </c>
      <c r="AA25" s="89">
        <f t="shared" si="23"/>
        <v>-1.7714285714285714</v>
      </c>
      <c r="AB25" s="89">
        <f t="shared" si="13"/>
        <v>-0.96428571428571441</v>
      </c>
      <c r="AC25" s="90">
        <v>5</v>
      </c>
      <c r="AD25" s="128" t="s">
        <v>38</v>
      </c>
      <c r="AE25" s="92" t="s">
        <v>38</v>
      </c>
      <c r="AF25" s="92" t="s">
        <v>38</v>
      </c>
      <c r="AG25" s="92" t="s">
        <v>38</v>
      </c>
      <c r="AH25" s="92" t="s">
        <v>38</v>
      </c>
      <c r="AI25" s="92">
        <v>1</v>
      </c>
      <c r="AJ25" s="93" t="s">
        <v>38</v>
      </c>
      <c r="AK25" s="93" t="s">
        <v>38</v>
      </c>
      <c r="AL25" s="93" t="s">
        <v>38</v>
      </c>
      <c r="AM25" s="93" t="s">
        <v>38</v>
      </c>
      <c r="AN25" s="93" t="s">
        <v>38</v>
      </c>
      <c r="AO25" s="94"/>
      <c r="AP25" s="95"/>
    </row>
    <row r="26" spans="1:42" s="7" customFormat="1" ht="21.95" customHeight="1" x14ac:dyDescent="0.2">
      <c r="A26" s="123" t="s">
        <v>60</v>
      </c>
      <c r="B26" s="263" t="s">
        <v>21</v>
      </c>
      <c r="C26" s="75" t="s">
        <v>38</v>
      </c>
      <c r="D26" s="75" t="s">
        <v>38</v>
      </c>
      <c r="E26" s="75">
        <v>1</v>
      </c>
      <c r="F26" s="75" t="s">
        <v>38</v>
      </c>
      <c r="G26" s="76" t="s">
        <v>38</v>
      </c>
      <c r="H26" s="76" t="s">
        <v>38</v>
      </c>
      <c r="I26" s="76">
        <v>5</v>
      </c>
      <c r="J26" s="77">
        <v>3</v>
      </c>
      <c r="K26" s="78">
        <f t="shared" si="17"/>
        <v>9</v>
      </c>
      <c r="L26" s="79">
        <v>0</v>
      </c>
      <c r="M26" s="218">
        <f t="shared" si="18"/>
        <v>9</v>
      </c>
      <c r="N26" s="81">
        <v>241.52777777777777</v>
      </c>
      <c r="O26" s="81">
        <v>0</v>
      </c>
      <c r="P26" s="82">
        <f t="shared" ref="P26:P44" si="24">SUM(N26:O26)</f>
        <v>241.52777777777777</v>
      </c>
      <c r="Q26" s="83">
        <f>P26/20</f>
        <v>12.076388888888889</v>
      </c>
      <c r="R26" s="84">
        <f t="shared" si="19"/>
        <v>253.60416666666666</v>
      </c>
      <c r="S26" s="83">
        <f>R26/20</f>
        <v>12.680208333333333</v>
      </c>
      <c r="T26" s="103">
        <v>221</v>
      </c>
      <c r="U26" s="85">
        <v>0</v>
      </c>
      <c r="V26" s="78">
        <f t="shared" si="20"/>
        <v>221</v>
      </c>
      <c r="W26" s="78">
        <f t="shared" si="12"/>
        <v>110.5</v>
      </c>
      <c r="X26" s="87">
        <f t="shared" si="21"/>
        <v>6.3142857142857141</v>
      </c>
      <c r="Y26" s="88">
        <f t="shared" si="15"/>
        <v>7.8928571428571432</v>
      </c>
      <c r="Z26" s="89">
        <f t="shared" si="22"/>
        <v>3.0763888888888893</v>
      </c>
      <c r="AA26" s="89">
        <f t="shared" si="23"/>
        <v>-2.6857142857142859</v>
      </c>
      <c r="AB26" s="89">
        <f t="shared" si="13"/>
        <v>-1.1071428571428568</v>
      </c>
      <c r="AC26" s="90">
        <v>5</v>
      </c>
      <c r="AD26" s="91">
        <f>P26/30</f>
        <v>8.0509259259259256</v>
      </c>
      <c r="AE26" s="92" t="s">
        <v>38</v>
      </c>
      <c r="AF26" s="92" t="s">
        <v>38</v>
      </c>
      <c r="AG26" s="92" t="s">
        <v>38</v>
      </c>
      <c r="AH26" s="92">
        <v>2</v>
      </c>
      <c r="AI26" s="92" t="s">
        <v>38</v>
      </c>
      <c r="AJ26" s="93" t="s">
        <v>38</v>
      </c>
      <c r="AK26" s="93" t="s">
        <v>38</v>
      </c>
      <c r="AL26" s="93" t="s">
        <v>38</v>
      </c>
      <c r="AM26" s="93" t="s">
        <v>38</v>
      </c>
      <c r="AN26" s="93" t="s">
        <v>38</v>
      </c>
      <c r="AO26" s="94"/>
      <c r="AP26" s="95"/>
    </row>
    <row r="27" spans="1:42" s="7" customFormat="1" ht="21.95" customHeight="1" x14ac:dyDescent="0.2">
      <c r="A27" s="123" t="s">
        <v>61</v>
      </c>
      <c r="B27" s="263" t="s">
        <v>21</v>
      </c>
      <c r="C27" s="75" t="s">
        <v>38</v>
      </c>
      <c r="D27" s="75" t="s">
        <v>38</v>
      </c>
      <c r="E27" s="75" t="s">
        <v>38</v>
      </c>
      <c r="F27" s="75">
        <v>1</v>
      </c>
      <c r="G27" s="76" t="s">
        <v>38</v>
      </c>
      <c r="H27" s="76" t="s">
        <v>38</v>
      </c>
      <c r="I27" s="76">
        <v>2</v>
      </c>
      <c r="J27" s="77">
        <v>5</v>
      </c>
      <c r="K27" s="78">
        <f t="shared" si="17"/>
        <v>8</v>
      </c>
      <c r="L27" s="79">
        <v>0</v>
      </c>
      <c r="M27" s="218">
        <f t="shared" si="18"/>
        <v>8</v>
      </c>
      <c r="N27" s="81">
        <v>98.972222222222229</v>
      </c>
      <c r="O27" s="81">
        <v>0</v>
      </c>
      <c r="P27" s="82">
        <f t="shared" si="24"/>
        <v>98.972222222222229</v>
      </c>
      <c r="Q27" s="83">
        <f>P27/20</f>
        <v>4.9486111111111111</v>
      </c>
      <c r="R27" s="84">
        <f t="shared" si="19"/>
        <v>103.92083333333333</v>
      </c>
      <c r="S27" s="83">
        <f>R27/20</f>
        <v>5.1960416666666669</v>
      </c>
      <c r="T27" s="103">
        <v>125</v>
      </c>
      <c r="U27" s="85">
        <v>0</v>
      </c>
      <c r="V27" s="78">
        <f t="shared" si="20"/>
        <v>125</v>
      </c>
      <c r="W27" s="78">
        <f t="shared" si="12"/>
        <v>62.5</v>
      </c>
      <c r="X27" s="87">
        <f t="shared" si="21"/>
        <v>3.5714285714285716</v>
      </c>
      <c r="Y27" s="88">
        <f t="shared" si="15"/>
        <v>4.4642857142857144</v>
      </c>
      <c r="Z27" s="89">
        <f t="shared" si="22"/>
        <v>-3.0513888888888889</v>
      </c>
      <c r="AA27" s="89">
        <f t="shared" si="23"/>
        <v>-4.4285714285714288</v>
      </c>
      <c r="AB27" s="89">
        <f t="shared" si="13"/>
        <v>-3.5357142857142856</v>
      </c>
      <c r="AC27" s="90">
        <v>5</v>
      </c>
      <c r="AD27" s="128" t="s">
        <v>38</v>
      </c>
      <c r="AE27" s="92" t="s">
        <v>38</v>
      </c>
      <c r="AF27" s="92" t="s">
        <v>38</v>
      </c>
      <c r="AG27" s="92">
        <v>1</v>
      </c>
      <c r="AH27" s="92" t="s">
        <v>38</v>
      </c>
      <c r="AI27" s="92" t="s">
        <v>38</v>
      </c>
      <c r="AJ27" s="93" t="s">
        <v>38</v>
      </c>
      <c r="AK27" s="93" t="s">
        <v>38</v>
      </c>
      <c r="AL27" s="93" t="s">
        <v>38</v>
      </c>
      <c r="AM27" s="93" t="s">
        <v>38</v>
      </c>
      <c r="AN27" s="93" t="s">
        <v>38</v>
      </c>
      <c r="AO27" s="94"/>
      <c r="AP27" s="95"/>
    </row>
    <row r="28" spans="1:42" s="7" customFormat="1" ht="21.95" customHeight="1" x14ac:dyDescent="0.2">
      <c r="A28" s="123" t="s">
        <v>62</v>
      </c>
      <c r="B28" s="263" t="s">
        <v>24</v>
      </c>
      <c r="C28" s="96" t="s">
        <v>38</v>
      </c>
      <c r="D28" s="96" t="s">
        <v>38</v>
      </c>
      <c r="E28" s="96" t="s">
        <v>38</v>
      </c>
      <c r="F28" s="96" t="s">
        <v>38</v>
      </c>
      <c r="G28" s="97" t="s">
        <v>38</v>
      </c>
      <c r="H28" s="97" t="s">
        <v>38</v>
      </c>
      <c r="I28" s="97" t="s">
        <v>38</v>
      </c>
      <c r="J28" s="97">
        <v>9</v>
      </c>
      <c r="K28" s="78">
        <f t="shared" si="17"/>
        <v>9</v>
      </c>
      <c r="L28" s="79">
        <v>0</v>
      </c>
      <c r="M28" s="218">
        <f t="shared" si="18"/>
        <v>9</v>
      </c>
      <c r="N28" s="81">
        <v>249.69444444444446</v>
      </c>
      <c r="O28" s="81">
        <v>0</v>
      </c>
      <c r="P28" s="82">
        <f t="shared" si="24"/>
        <v>249.69444444444446</v>
      </c>
      <c r="Q28" s="83">
        <f>P28/25</f>
        <v>9.9877777777777776</v>
      </c>
      <c r="R28" s="84">
        <f t="shared" si="19"/>
        <v>262.17916666666667</v>
      </c>
      <c r="S28" s="83">
        <f>R28/25</f>
        <v>10.487166666666667</v>
      </c>
      <c r="T28" s="85">
        <f>276+12</f>
        <v>288</v>
      </c>
      <c r="U28" s="85">
        <v>0</v>
      </c>
      <c r="V28" s="78">
        <f t="shared" si="20"/>
        <v>288</v>
      </c>
      <c r="W28" s="78">
        <f t="shared" si="12"/>
        <v>144</v>
      </c>
      <c r="X28" s="87">
        <f t="shared" si="21"/>
        <v>8.2285714285714278</v>
      </c>
      <c r="Y28" s="88">
        <f t="shared" si="15"/>
        <v>10.285714285714286</v>
      </c>
      <c r="Z28" s="89">
        <f t="shared" si="22"/>
        <v>0.98777777777777764</v>
      </c>
      <c r="AA28" s="89">
        <f t="shared" si="23"/>
        <v>-0.77142857142857224</v>
      </c>
      <c r="AB28" s="89">
        <f t="shared" si="13"/>
        <v>1.2857142857142865</v>
      </c>
      <c r="AC28" s="90">
        <v>5</v>
      </c>
      <c r="AD28" s="128" t="s">
        <v>38</v>
      </c>
      <c r="AE28" s="92" t="s">
        <v>38</v>
      </c>
      <c r="AF28" s="92" t="s">
        <v>38</v>
      </c>
      <c r="AG28" s="92" t="s">
        <v>38</v>
      </c>
      <c r="AH28" s="92" t="s">
        <v>38</v>
      </c>
      <c r="AI28" s="92" t="s">
        <v>38</v>
      </c>
      <c r="AJ28" s="93" t="s">
        <v>38</v>
      </c>
      <c r="AK28" s="93" t="s">
        <v>38</v>
      </c>
      <c r="AL28" s="93" t="s">
        <v>38</v>
      </c>
      <c r="AM28" s="93" t="s">
        <v>38</v>
      </c>
      <c r="AN28" s="93" t="s">
        <v>38</v>
      </c>
      <c r="AO28" s="94"/>
      <c r="AP28" s="95"/>
    </row>
    <row r="29" spans="1:42" s="7" customFormat="1" ht="21.95" customHeight="1" x14ac:dyDescent="0.2">
      <c r="A29" s="123" t="s">
        <v>63</v>
      </c>
      <c r="B29" s="263" t="s">
        <v>24</v>
      </c>
      <c r="C29" s="75" t="s">
        <v>38</v>
      </c>
      <c r="D29" s="75" t="s">
        <v>38</v>
      </c>
      <c r="E29" s="75">
        <v>1</v>
      </c>
      <c r="F29" s="75">
        <v>1</v>
      </c>
      <c r="G29" s="76" t="s">
        <v>38</v>
      </c>
      <c r="H29" s="76" t="s">
        <v>38</v>
      </c>
      <c r="I29" s="76" t="s">
        <v>38</v>
      </c>
      <c r="J29" s="77">
        <v>5</v>
      </c>
      <c r="K29" s="78">
        <f t="shared" si="17"/>
        <v>7</v>
      </c>
      <c r="L29" s="79">
        <v>0</v>
      </c>
      <c r="M29" s="218">
        <f t="shared" si="18"/>
        <v>7</v>
      </c>
      <c r="N29" s="81">
        <v>160.02777777777777</v>
      </c>
      <c r="O29" s="81">
        <v>0</v>
      </c>
      <c r="P29" s="82">
        <f t="shared" si="24"/>
        <v>160.02777777777777</v>
      </c>
      <c r="Q29" s="83">
        <f>P29/25</f>
        <v>6.4011111111111108</v>
      </c>
      <c r="R29" s="84">
        <f t="shared" si="19"/>
        <v>168.02916666666667</v>
      </c>
      <c r="S29" s="83">
        <f>R29/25</f>
        <v>6.721166666666667</v>
      </c>
      <c r="T29" s="85">
        <f>136+12</f>
        <v>148</v>
      </c>
      <c r="U29" s="85">
        <v>0</v>
      </c>
      <c r="V29" s="78">
        <f t="shared" si="20"/>
        <v>148</v>
      </c>
      <c r="W29" s="78">
        <f t="shared" si="12"/>
        <v>74</v>
      </c>
      <c r="X29" s="87">
        <f t="shared" si="21"/>
        <v>4.2285714285714286</v>
      </c>
      <c r="Y29" s="88">
        <f t="shared" si="15"/>
        <v>5.2857142857142856</v>
      </c>
      <c r="Z29" s="89">
        <f t="shared" si="22"/>
        <v>-0.59888888888888925</v>
      </c>
      <c r="AA29" s="89">
        <f t="shared" si="23"/>
        <v>-2.7714285714285714</v>
      </c>
      <c r="AB29" s="89">
        <f t="shared" si="13"/>
        <v>-1.7142857142857144</v>
      </c>
      <c r="AC29" s="90">
        <v>5</v>
      </c>
      <c r="AD29" s="128" t="s">
        <v>38</v>
      </c>
      <c r="AE29" s="92" t="s">
        <v>38</v>
      </c>
      <c r="AF29" s="92" t="s">
        <v>38</v>
      </c>
      <c r="AG29" s="92" t="s">
        <v>38</v>
      </c>
      <c r="AH29" s="92" t="s">
        <v>38</v>
      </c>
      <c r="AI29" s="92" t="s">
        <v>38</v>
      </c>
      <c r="AJ29" s="93" t="s">
        <v>38</v>
      </c>
      <c r="AK29" s="93" t="s">
        <v>38</v>
      </c>
      <c r="AL29" s="93" t="s">
        <v>38</v>
      </c>
      <c r="AM29" s="93" t="s">
        <v>38</v>
      </c>
      <c r="AN29" s="93" t="s">
        <v>38</v>
      </c>
      <c r="AO29" s="94"/>
      <c r="AP29" s="95"/>
    </row>
    <row r="30" spans="1:42" s="7" customFormat="1" ht="21.95" customHeight="1" x14ac:dyDescent="0.2">
      <c r="A30" s="342" t="s">
        <v>64</v>
      </c>
      <c r="B30" s="263" t="s">
        <v>19</v>
      </c>
      <c r="C30" s="75" t="s">
        <v>38</v>
      </c>
      <c r="D30" s="75" t="s">
        <v>38</v>
      </c>
      <c r="E30" s="75" t="s">
        <v>38</v>
      </c>
      <c r="F30" s="75" t="s">
        <v>38</v>
      </c>
      <c r="G30" s="76" t="s">
        <v>38</v>
      </c>
      <c r="H30" s="76" t="s">
        <v>38</v>
      </c>
      <c r="I30" s="76">
        <v>2</v>
      </c>
      <c r="J30" s="76">
        <v>1</v>
      </c>
      <c r="K30" s="130">
        <f t="shared" si="17"/>
        <v>3</v>
      </c>
      <c r="L30" s="131">
        <v>0</v>
      </c>
      <c r="M30" s="238">
        <f t="shared" si="18"/>
        <v>3</v>
      </c>
      <c r="N30" s="133">
        <v>0</v>
      </c>
      <c r="O30" s="81">
        <f>12.4583333333333*1.8</f>
        <v>22.42499999999994</v>
      </c>
      <c r="P30" s="82">
        <f t="shared" si="24"/>
        <v>22.42499999999994</v>
      </c>
      <c r="Q30" s="134">
        <f>P30/30</f>
        <v>0.74749999999999805</v>
      </c>
      <c r="R30" s="84">
        <f t="shared" si="19"/>
        <v>23.546249999999937</v>
      </c>
      <c r="S30" s="135">
        <f>R30/30</f>
        <v>0.78487499999999788</v>
      </c>
      <c r="T30" s="109">
        <v>0</v>
      </c>
      <c r="U30" s="136">
        <f>36+15</f>
        <v>51</v>
      </c>
      <c r="V30" s="78">
        <f>SUM(U30:U30)</f>
        <v>51</v>
      </c>
      <c r="W30" s="78">
        <f t="shared" si="12"/>
        <v>25.5</v>
      </c>
      <c r="X30" s="87">
        <f t="shared" si="21"/>
        <v>1.4571428571428571</v>
      </c>
      <c r="Y30" s="88">
        <f t="shared" si="15"/>
        <v>1.8214285714285714</v>
      </c>
      <c r="Z30" s="89">
        <f t="shared" si="22"/>
        <v>-2.2525000000000022</v>
      </c>
      <c r="AA30" s="89">
        <f t="shared" si="23"/>
        <v>-1.5428571428571429</v>
      </c>
      <c r="AB30" s="89">
        <f t="shared" si="13"/>
        <v>-1.1785714285714286</v>
      </c>
      <c r="AC30" s="90">
        <v>3</v>
      </c>
      <c r="AD30" s="128" t="s">
        <v>38</v>
      </c>
      <c r="AE30" s="92" t="s">
        <v>38</v>
      </c>
      <c r="AF30" s="92" t="s">
        <v>38</v>
      </c>
      <c r="AG30" s="92" t="s">
        <v>38</v>
      </c>
      <c r="AH30" s="92" t="s">
        <v>38</v>
      </c>
      <c r="AI30" s="92" t="s">
        <v>38</v>
      </c>
      <c r="AJ30" s="93" t="s">
        <v>38</v>
      </c>
      <c r="AK30" s="93" t="s">
        <v>38</v>
      </c>
      <c r="AL30" s="93" t="s">
        <v>38</v>
      </c>
      <c r="AM30" s="93" t="s">
        <v>38</v>
      </c>
      <c r="AN30" s="93" t="s">
        <v>38</v>
      </c>
      <c r="AO30" s="94"/>
      <c r="AP30" s="95"/>
    </row>
    <row r="31" spans="1:42" s="7" customFormat="1" ht="21.95" customHeight="1" x14ac:dyDescent="0.2">
      <c r="A31" s="342"/>
      <c r="B31" s="263" t="s">
        <v>21</v>
      </c>
      <c r="C31" s="75" t="s">
        <v>38</v>
      </c>
      <c r="D31" s="75" t="s">
        <v>38</v>
      </c>
      <c r="E31" s="75" t="s">
        <v>38</v>
      </c>
      <c r="F31" s="75">
        <v>1</v>
      </c>
      <c r="G31" s="76" t="s">
        <v>38</v>
      </c>
      <c r="H31" s="76" t="s">
        <v>38</v>
      </c>
      <c r="I31" s="76">
        <v>2</v>
      </c>
      <c r="J31" s="76">
        <v>2</v>
      </c>
      <c r="K31" s="130">
        <f t="shared" si="17"/>
        <v>5</v>
      </c>
      <c r="L31" s="131">
        <v>0</v>
      </c>
      <c r="M31" s="238">
        <f t="shared" si="18"/>
        <v>5</v>
      </c>
      <c r="N31" s="133">
        <v>248.97222222222223</v>
      </c>
      <c r="O31" s="98">
        <v>0</v>
      </c>
      <c r="P31" s="82">
        <f t="shared" si="24"/>
        <v>248.97222222222223</v>
      </c>
      <c r="Q31" s="134">
        <f>P31/30</f>
        <v>8.299074074074074</v>
      </c>
      <c r="R31" s="84">
        <f t="shared" si="19"/>
        <v>261.42083333333335</v>
      </c>
      <c r="S31" s="135">
        <f>R31/30</f>
        <v>8.7140277777777779</v>
      </c>
      <c r="T31" s="103">
        <v>269</v>
      </c>
      <c r="U31" s="136">
        <v>0</v>
      </c>
      <c r="V31" s="78">
        <f t="shared" ref="V31:V38" si="25">SUM(T31:U31)</f>
        <v>269</v>
      </c>
      <c r="W31" s="78">
        <f t="shared" si="12"/>
        <v>134.5</v>
      </c>
      <c r="X31" s="87">
        <f t="shared" si="21"/>
        <v>7.6857142857142859</v>
      </c>
      <c r="Y31" s="88">
        <f t="shared" si="15"/>
        <v>9.6071428571428577</v>
      </c>
      <c r="Z31" s="89">
        <f t="shared" si="22"/>
        <v>3.299074074074074</v>
      </c>
      <c r="AA31" s="89">
        <f t="shared" si="23"/>
        <v>2.6857142857142859</v>
      </c>
      <c r="AB31" s="89">
        <f t="shared" si="13"/>
        <v>4.6071428571428577</v>
      </c>
      <c r="AC31" s="90">
        <v>5</v>
      </c>
      <c r="AD31" s="128" t="s">
        <v>38</v>
      </c>
      <c r="AE31" s="92" t="s">
        <v>38</v>
      </c>
      <c r="AF31" s="92" t="s">
        <v>38</v>
      </c>
      <c r="AG31" s="92" t="s">
        <v>38</v>
      </c>
      <c r="AH31" s="92" t="s">
        <v>38</v>
      </c>
      <c r="AI31" s="92" t="s">
        <v>38</v>
      </c>
      <c r="AJ31" s="93" t="s">
        <v>38</v>
      </c>
      <c r="AK31" s="93" t="s">
        <v>38</v>
      </c>
      <c r="AL31" s="93" t="s">
        <v>38</v>
      </c>
      <c r="AM31" s="93" t="s">
        <v>38</v>
      </c>
      <c r="AN31" s="93" t="s">
        <v>38</v>
      </c>
      <c r="AO31" s="94"/>
      <c r="AP31" s="95"/>
    </row>
    <row r="32" spans="1:42" s="7" customFormat="1" ht="21.95" customHeight="1" x14ac:dyDescent="0.2">
      <c r="A32" s="342"/>
      <c r="B32" s="263" t="s">
        <v>262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 t="s">
        <v>38</v>
      </c>
      <c r="I32" s="76">
        <v>2</v>
      </c>
      <c r="J32" s="76">
        <v>4</v>
      </c>
      <c r="K32" s="130">
        <f t="shared" si="17"/>
        <v>6</v>
      </c>
      <c r="L32" s="131">
        <v>1</v>
      </c>
      <c r="M32" s="238">
        <f t="shared" si="18"/>
        <v>5</v>
      </c>
      <c r="N32" s="133">
        <v>244.5</v>
      </c>
      <c r="O32" s="98">
        <v>0</v>
      </c>
      <c r="P32" s="82">
        <f t="shared" si="24"/>
        <v>244.5</v>
      </c>
      <c r="Q32" s="134">
        <f>P32/25</f>
        <v>9.7799999999999994</v>
      </c>
      <c r="R32" s="84">
        <f t="shared" si="19"/>
        <v>256.72500000000002</v>
      </c>
      <c r="S32" s="135">
        <f>R32/25</f>
        <v>10.269</v>
      </c>
      <c r="T32" s="103">
        <f>205+263</f>
        <v>468</v>
      </c>
      <c r="U32" s="136">
        <v>0</v>
      </c>
      <c r="V32" s="78">
        <f t="shared" si="25"/>
        <v>468</v>
      </c>
      <c r="W32" s="78">
        <f t="shared" si="12"/>
        <v>234</v>
      </c>
      <c r="X32" s="87">
        <f t="shared" si="21"/>
        <v>13.371428571428572</v>
      </c>
      <c r="Y32" s="88">
        <f t="shared" si="15"/>
        <v>16.714285714285715</v>
      </c>
      <c r="Z32" s="89">
        <f t="shared" si="22"/>
        <v>4.7799999999999994</v>
      </c>
      <c r="AA32" s="89">
        <f t="shared" si="23"/>
        <v>8.3714285714285719</v>
      </c>
      <c r="AB32" s="89">
        <f t="shared" si="13"/>
        <v>11.714285714285715</v>
      </c>
      <c r="AC32" s="90">
        <v>5</v>
      </c>
      <c r="AD32" s="128" t="s">
        <v>38</v>
      </c>
      <c r="AE32" s="92" t="s">
        <v>38</v>
      </c>
      <c r="AF32" s="92" t="s">
        <v>38</v>
      </c>
      <c r="AG32" s="92" t="s">
        <v>38</v>
      </c>
      <c r="AH32" s="92" t="s">
        <v>38</v>
      </c>
      <c r="AI32" s="92" t="s">
        <v>38</v>
      </c>
      <c r="AJ32" s="93" t="s">
        <v>38</v>
      </c>
      <c r="AK32" s="93" t="s">
        <v>38</v>
      </c>
      <c r="AL32" s="93" t="s">
        <v>38</v>
      </c>
      <c r="AM32" s="93" t="s">
        <v>38</v>
      </c>
      <c r="AN32" s="93" t="s">
        <v>38</v>
      </c>
      <c r="AO32" s="94"/>
      <c r="AP32" s="95"/>
    </row>
    <row r="33" spans="1:42" s="7" customFormat="1" ht="21.95" customHeight="1" x14ac:dyDescent="0.2">
      <c r="A33" s="342"/>
      <c r="B33" s="263" t="s">
        <v>263</v>
      </c>
      <c r="C33" s="75" t="s">
        <v>38</v>
      </c>
      <c r="D33" s="75" t="s">
        <v>38</v>
      </c>
      <c r="E33" s="75" t="s">
        <v>38</v>
      </c>
      <c r="F33" s="75" t="s">
        <v>38</v>
      </c>
      <c r="G33" s="76" t="s">
        <v>38</v>
      </c>
      <c r="H33" s="76"/>
      <c r="I33" s="76">
        <v>2</v>
      </c>
      <c r="J33" s="76">
        <v>4</v>
      </c>
      <c r="K33" s="130">
        <f t="shared" si="17"/>
        <v>6</v>
      </c>
      <c r="L33" s="131">
        <v>0</v>
      </c>
      <c r="M33" s="238">
        <f t="shared" si="18"/>
        <v>6</v>
      </c>
      <c r="N33" s="81">
        <v>63.5</v>
      </c>
      <c r="O33" s="98">
        <v>0</v>
      </c>
      <c r="P33" s="82">
        <f t="shared" si="24"/>
        <v>63.5</v>
      </c>
      <c r="Q33" s="134">
        <f>P33/25</f>
        <v>2.54</v>
      </c>
      <c r="R33" s="84">
        <f t="shared" si="19"/>
        <v>66.674999999999997</v>
      </c>
      <c r="S33" s="135">
        <f>R33/25</f>
        <v>2.6669999999999998</v>
      </c>
      <c r="T33" s="137">
        <v>62</v>
      </c>
      <c r="U33" s="136">
        <v>0</v>
      </c>
      <c r="V33" s="78">
        <f t="shared" si="25"/>
        <v>62</v>
      </c>
      <c r="W33" s="78">
        <f t="shared" si="12"/>
        <v>31</v>
      </c>
      <c r="X33" s="87">
        <f t="shared" si="21"/>
        <v>1.7714285714285714</v>
      </c>
      <c r="Y33" s="88">
        <f t="shared" si="15"/>
        <v>2.2142857142857144</v>
      </c>
      <c r="Z33" s="89">
        <f t="shared" si="22"/>
        <v>-3.46</v>
      </c>
      <c r="AA33" s="89">
        <f t="shared" si="23"/>
        <v>-4.2285714285714286</v>
      </c>
      <c r="AB33" s="89">
        <f t="shared" si="13"/>
        <v>-3.7857142857142856</v>
      </c>
      <c r="AC33" s="90"/>
      <c r="AD33" s="128" t="s">
        <v>38</v>
      </c>
      <c r="AE33" s="92"/>
      <c r="AF33" s="92"/>
      <c r="AG33" s="92"/>
      <c r="AH33" s="92"/>
      <c r="AI33" s="92"/>
      <c r="AJ33" s="93"/>
      <c r="AK33" s="93"/>
      <c r="AL33" s="93"/>
      <c r="AM33" s="93"/>
      <c r="AN33" s="93"/>
      <c r="AO33" s="94"/>
      <c r="AP33" s="95"/>
    </row>
    <row r="34" spans="1:42" s="10" customFormat="1" ht="21.95" customHeight="1" x14ac:dyDescent="0.2">
      <c r="A34" s="138" t="s">
        <v>65</v>
      </c>
      <c r="B34" s="262" t="s">
        <v>38</v>
      </c>
      <c r="C34" s="96" t="s">
        <v>38</v>
      </c>
      <c r="D34" s="96" t="s">
        <v>38</v>
      </c>
      <c r="E34" s="96" t="s">
        <v>38</v>
      </c>
      <c r="F34" s="96" t="s">
        <v>38</v>
      </c>
      <c r="G34" s="97" t="s">
        <v>38</v>
      </c>
      <c r="H34" s="97" t="s">
        <v>38</v>
      </c>
      <c r="I34" s="97" t="s">
        <v>38</v>
      </c>
      <c r="J34" s="97">
        <v>2</v>
      </c>
      <c r="K34" s="78">
        <f t="shared" si="17"/>
        <v>2</v>
      </c>
      <c r="L34" s="79">
        <v>0</v>
      </c>
      <c r="M34" s="236">
        <f t="shared" si="18"/>
        <v>2</v>
      </c>
      <c r="N34" s="98">
        <v>0</v>
      </c>
      <c r="O34" s="98">
        <v>0</v>
      </c>
      <c r="P34" s="82">
        <f t="shared" si="24"/>
        <v>0</v>
      </c>
      <c r="Q34" s="83">
        <v>0</v>
      </c>
      <c r="R34" s="84">
        <f t="shared" si="19"/>
        <v>0</v>
      </c>
      <c r="S34" s="83">
        <v>0</v>
      </c>
      <c r="T34" s="85">
        <v>0</v>
      </c>
      <c r="U34" s="85">
        <v>0</v>
      </c>
      <c r="V34" s="78">
        <f t="shared" si="25"/>
        <v>0</v>
      </c>
      <c r="W34" s="78">
        <f t="shared" si="12"/>
        <v>0</v>
      </c>
      <c r="X34" s="87">
        <f t="shared" si="21"/>
        <v>0</v>
      </c>
      <c r="Y34" s="88">
        <f t="shared" si="15"/>
        <v>0</v>
      </c>
      <c r="Z34" s="100">
        <v>0</v>
      </c>
      <c r="AA34" s="100">
        <v>0</v>
      </c>
      <c r="AB34" s="100">
        <v>0</v>
      </c>
      <c r="AC34" s="90">
        <v>5</v>
      </c>
      <c r="AD34" s="128" t="s">
        <v>38</v>
      </c>
      <c r="AE34" s="101" t="s">
        <v>38</v>
      </c>
      <c r="AF34" s="101" t="s">
        <v>38</v>
      </c>
      <c r="AG34" s="101" t="s">
        <v>38</v>
      </c>
      <c r="AH34" s="101" t="s">
        <v>38</v>
      </c>
      <c r="AI34" s="101" t="s">
        <v>38</v>
      </c>
      <c r="AJ34" s="93" t="s">
        <v>38</v>
      </c>
      <c r="AK34" s="93" t="s">
        <v>38</v>
      </c>
      <c r="AL34" s="93" t="s">
        <v>38</v>
      </c>
      <c r="AM34" s="93" t="s">
        <v>38</v>
      </c>
      <c r="AN34" s="93" t="s">
        <v>38</v>
      </c>
      <c r="AO34" s="94"/>
      <c r="AP34" s="63"/>
    </row>
    <row r="35" spans="1:42" s="8" customFormat="1" ht="21.95" customHeight="1" x14ac:dyDescent="0.2">
      <c r="A35" s="343" t="s">
        <v>66</v>
      </c>
      <c r="B35" s="263" t="s">
        <v>21</v>
      </c>
      <c r="C35" s="75" t="s">
        <v>38</v>
      </c>
      <c r="D35" s="75" t="s">
        <v>38</v>
      </c>
      <c r="E35" s="75" t="s">
        <v>38</v>
      </c>
      <c r="F35" s="75" t="s">
        <v>38</v>
      </c>
      <c r="G35" s="76" t="s">
        <v>38</v>
      </c>
      <c r="H35" s="76" t="s">
        <v>38</v>
      </c>
      <c r="I35" s="76">
        <v>1</v>
      </c>
      <c r="J35" s="76">
        <v>5</v>
      </c>
      <c r="K35" s="108">
        <f t="shared" si="17"/>
        <v>6</v>
      </c>
      <c r="L35" s="79">
        <v>0</v>
      </c>
      <c r="M35" s="237">
        <f t="shared" si="18"/>
        <v>6</v>
      </c>
      <c r="N35" s="98">
        <v>0</v>
      </c>
      <c r="O35" s="98">
        <f>10.875*1.8</f>
        <v>19.574999999999999</v>
      </c>
      <c r="P35" s="82">
        <f t="shared" si="24"/>
        <v>19.574999999999999</v>
      </c>
      <c r="Q35" s="134">
        <f>P35/30</f>
        <v>0.65249999999999997</v>
      </c>
      <c r="R35" s="84">
        <f t="shared" si="19"/>
        <v>20.553750000000001</v>
      </c>
      <c r="S35" s="135">
        <f>R35/30</f>
        <v>0.68512499999999998</v>
      </c>
      <c r="T35" s="103">
        <v>213</v>
      </c>
      <c r="U35" s="136">
        <v>0</v>
      </c>
      <c r="V35" s="130">
        <f t="shared" si="25"/>
        <v>213</v>
      </c>
      <c r="W35" s="78">
        <f t="shared" si="12"/>
        <v>106.5</v>
      </c>
      <c r="X35" s="87">
        <f t="shared" si="21"/>
        <v>6.0857142857142854</v>
      </c>
      <c r="Y35" s="88">
        <f t="shared" si="15"/>
        <v>7.6071428571428568</v>
      </c>
      <c r="Z35" s="89">
        <f t="shared" ref="Z35:Z44" si="26">Q35-M35</f>
        <v>-5.3475000000000001</v>
      </c>
      <c r="AA35" s="141">
        <f t="shared" ref="AA35:AA44" si="27">X35-M35</f>
        <v>8.571428571428541E-2</v>
      </c>
      <c r="AB35" s="89">
        <f t="shared" ref="AB35:AB96" si="28">Y35-M35</f>
        <v>1.6071428571428568</v>
      </c>
      <c r="AC35" s="90">
        <v>5</v>
      </c>
      <c r="AD35" s="91">
        <f>P35/30</f>
        <v>0.65249999999999997</v>
      </c>
      <c r="AE35" s="101" t="s">
        <v>38</v>
      </c>
      <c r="AF35" s="101" t="s">
        <v>38</v>
      </c>
      <c r="AG35" s="101" t="s">
        <v>38</v>
      </c>
      <c r="AH35" s="101" t="s">
        <v>38</v>
      </c>
      <c r="AI35" s="101" t="s">
        <v>38</v>
      </c>
      <c r="AJ35" s="93" t="s">
        <v>38</v>
      </c>
      <c r="AK35" s="93" t="s">
        <v>38</v>
      </c>
      <c r="AL35" s="93" t="s">
        <v>38</v>
      </c>
      <c r="AM35" s="93" t="s">
        <v>38</v>
      </c>
      <c r="AN35" s="93" t="s">
        <v>38</v>
      </c>
      <c r="AO35" s="142"/>
      <c r="AP35" s="143"/>
    </row>
    <row r="36" spans="1:42" ht="21.95" customHeight="1" x14ac:dyDescent="0.2">
      <c r="A36" s="343"/>
      <c r="B36" s="263" t="s">
        <v>40</v>
      </c>
      <c r="C36" s="75" t="s">
        <v>38</v>
      </c>
      <c r="D36" s="75" t="s">
        <v>38</v>
      </c>
      <c r="E36" s="75">
        <v>2</v>
      </c>
      <c r="F36" s="75" t="s">
        <v>38</v>
      </c>
      <c r="G36" s="76" t="s">
        <v>38</v>
      </c>
      <c r="H36" s="76" t="s">
        <v>38</v>
      </c>
      <c r="I36" s="76"/>
      <c r="J36" s="76">
        <v>11</v>
      </c>
      <c r="K36" s="108">
        <f t="shared" si="17"/>
        <v>13</v>
      </c>
      <c r="L36" s="144">
        <v>1</v>
      </c>
      <c r="M36" s="237">
        <f t="shared" si="18"/>
        <v>12</v>
      </c>
      <c r="N36" s="133">
        <v>292.08333333333331</v>
      </c>
      <c r="O36" s="98">
        <v>0</v>
      </c>
      <c r="P36" s="82">
        <f t="shared" si="24"/>
        <v>292.08333333333331</v>
      </c>
      <c r="Q36" s="134">
        <f>P36/25</f>
        <v>11.683333333333332</v>
      </c>
      <c r="R36" s="84">
        <f t="shared" si="19"/>
        <v>306.6875</v>
      </c>
      <c r="S36" s="135">
        <f>R36/25</f>
        <v>12.2675</v>
      </c>
      <c r="T36" s="103">
        <f>118+602</f>
        <v>720</v>
      </c>
      <c r="U36" s="136">
        <v>0</v>
      </c>
      <c r="V36" s="130">
        <f t="shared" si="25"/>
        <v>720</v>
      </c>
      <c r="W36" s="78">
        <f t="shared" si="12"/>
        <v>360</v>
      </c>
      <c r="X36" s="87">
        <f t="shared" si="21"/>
        <v>20.571428571428573</v>
      </c>
      <c r="Y36" s="88">
        <f t="shared" si="15"/>
        <v>25.714285714285715</v>
      </c>
      <c r="Z36" s="89">
        <f t="shared" si="26"/>
        <v>-0.31666666666666821</v>
      </c>
      <c r="AA36" s="141">
        <f t="shared" si="27"/>
        <v>8.571428571428573</v>
      </c>
      <c r="AB36" s="89">
        <f t="shared" si="28"/>
        <v>13.714285714285715</v>
      </c>
      <c r="AC36" s="145">
        <v>5</v>
      </c>
      <c r="AD36" s="128" t="s">
        <v>38</v>
      </c>
      <c r="AE36" s="94" t="s">
        <v>38</v>
      </c>
      <c r="AF36" s="94">
        <v>1</v>
      </c>
      <c r="AG36" s="94">
        <v>1</v>
      </c>
      <c r="AH36" s="94" t="s">
        <v>38</v>
      </c>
      <c r="AI36" s="146">
        <v>3</v>
      </c>
      <c r="AJ36" s="147" t="s">
        <v>38</v>
      </c>
      <c r="AK36" s="147" t="s">
        <v>38</v>
      </c>
      <c r="AL36" s="147" t="s">
        <v>38</v>
      </c>
      <c r="AM36" s="147" t="s">
        <v>38</v>
      </c>
      <c r="AN36" s="147" t="s">
        <v>38</v>
      </c>
      <c r="AO36" s="94"/>
      <c r="AP36" s="63"/>
    </row>
    <row r="37" spans="1:42" ht="21.75" customHeight="1" x14ac:dyDescent="0.2">
      <c r="A37" s="343"/>
      <c r="B37" s="263" t="s">
        <v>41</v>
      </c>
      <c r="C37" s="75" t="s">
        <v>38</v>
      </c>
      <c r="D37" s="75" t="s">
        <v>38</v>
      </c>
      <c r="E37" s="75" t="s">
        <v>38</v>
      </c>
      <c r="F37" s="75" t="s">
        <v>38</v>
      </c>
      <c r="G37" s="76" t="s">
        <v>38</v>
      </c>
      <c r="H37" s="76" t="s">
        <v>38</v>
      </c>
      <c r="I37" s="76">
        <v>2</v>
      </c>
      <c r="J37" s="76">
        <v>8</v>
      </c>
      <c r="K37" s="108">
        <f t="shared" si="17"/>
        <v>10</v>
      </c>
      <c r="L37" s="144">
        <v>1</v>
      </c>
      <c r="M37" s="237">
        <f t="shared" si="18"/>
        <v>9</v>
      </c>
      <c r="N37" s="133">
        <v>255.36111111111111</v>
      </c>
      <c r="O37" s="98">
        <v>0</v>
      </c>
      <c r="P37" s="82">
        <f t="shared" si="24"/>
        <v>255.36111111111111</v>
      </c>
      <c r="Q37" s="134">
        <f>P37/25</f>
        <v>10.214444444444444</v>
      </c>
      <c r="R37" s="84">
        <f t="shared" si="19"/>
        <v>268.12916666666666</v>
      </c>
      <c r="S37" s="135">
        <f>R37/25</f>
        <v>10.725166666666667</v>
      </c>
      <c r="T37" s="103">
        <v>171</v>
      </c>
      <c r="U37" s="136">
        <v>0</v>
      </c>
      <c r="V37" s="130">
        <f t="shared" si="25"/>
        <v>171</v>
      </c>
      <c r="W37" s="78">
        <f t="shared" si="12"/>
        <v>85.5</v>
      </c>
      <c r="X37" s="87">
        <f t="shared" si="21"/>
        <v>4.8857142857142861</v>
      </c>
      <c r="Y37" s="88">
        <f t="shared" si="15"/>
        <v>6.1071428571428568</v>
      </c>
      <c r="Z37" s="89">
        <f t="shared" si="26"/>
        <v>1.2144444444444442</v>
      </c>
      <c r="AA37" s="141">
        <f t="shared" si="27"/>
        <v>-4.1142857142857139</v>
      </c>
      <c r="AB37" s="89">
        <f t="shared" si="28"/>
        <v>-2.8928571428571432</v>
      </c>
      <c r="AC37" s="145">
        <v>5</v>
      </c>
      <c r="AD37" s="128" t="s">
        <v>38</v>
      </c>
      <c r="AE37" s="94" t="s">
        <v>38</v>
      </c>
      <c r="AF37" s="94" t="s">
        <v>38</v>
      </c>
      <c r="AG37" s="94" t="s">
        <v>38</v>
      </c>
      <c r="AH37" s="94" t="s">
        <v>38</v>
      </c>
      <c r="AI37" s="94" t="s">
        <v>38</v>
      </c>
      <c r="AJ37" s="147" t="s">
        <v>38</v>
      </c>
      <c r="AK37" s="147" t="s">
        <v>38</v>
      </c>
      <c r="AL37" s="147" t="s">
        <v>38</v>
      </c>
      <c r="AM37" s="147" t="s">
        <v>38</v>
      </c>
      <c r="AN37" s="147" t="s">
        <v>38</v>
      </c>
      <c r="AO37" s="94"/>
      <c r="AP37" s="63"/>
    </row>
    <row r="38" spans="1:42" ht="21.75" customHeight="1" x14ac:dyDescent="0.2">
      <c r="A38" s="343"/>
      <c r="B38" s="263" t="s">
        <v>20</v>
      </c>
      <c r="C38" s="75" t="s">
        <v>38</v>
      </c>
      <c r="D38" s="75" t="s">
        <v>38</v>
      </c>
      <c r="E38" s="75">
        <v>2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108">
        <f t="shared" si="17"/>
        <v>3</v>
      </c>
      <c r="L38" s="144">
        <v>0</v>
      </c>
      <c r="M38" s="237">
        <f t="shared" si="18"/>
        <v>3</v>
      </c>
      <c r="N38" s="81">
        <v>10.875</v>
      </c>
      <c r="O38" s="98">
        <v>0</v>
      </c>
      <c r="P38" s="82">
        <f t="shared" si="24"/>
        <v>10.875</v>
      </c>
      <c r="Q38" s="134">
        <f>P38/30</f>
        <v>0.36249999999999999</v>
      </c>
      <c r="R38" s="84">
        <f t="shared" si="19"/>
        <v>11.418749999999999</v>
      </c>
      <c r="S38" s="135">
        <f>R38/30</f>
        <v>0.38062499999999999</v>
      </c>
      <c r="T38" s="103">
        <v>62</v>
      </c>
      <c r="U38" s="136">
        <v>0</v>
      </c>
      <c r="V38" s="130">
        <f t="shared" si="25"/>
        <v>62</v>
      </c>
      <c r="W38" s="78">
        <f t="shared" si="12"/>
        <v>31</v>
      </c>
      <c r="X38" s="87">
        <f t="shared" si="21"/>
        <v>1.7714285714285714</v>
      </c>
      <c r="Y38" s="88">
        <f t="shared" si="15"/>
        <v>2.2142857142857144</v>
      </c>
      <c r="Z38" s="89">
        <f t="shared" si="26"/>
        <v>-2.6375000000000002</v>
      </c>
      <c r="AA38" s="141">
        <f t="shared" si="27"/>
        <v>-1.2285714285714286</v>
      </c>
      <c r="AB38" s="89">
        <f t="shared" si="28"/>
        <v>-0.78571428571428559</v>
      </c>
      <c r="AC38" s="145">
        <v>3</v>
      </c>
      <c r="AD38" s="128" t="s">
        <v>38</v>
      </c>
      <c r="AE38" s="94" t="s">
        <v>38</v>
      </c>
      <c r="AF38" s="94" t="s">
        <v>38</v>
      </c>
      <c r="AG38" s="94" t="s">
        <v>38</v>
      </c>
      <c r="AH38" s="94" t="s">
        <v>38</v>
      </c>
      <c r="AI38" s="94" t="s">
        <v>38</v>
      </c>
      <c r="AJ38" s="147" t="s">
        <v>38</v>
      </c>
      <c r="AK38" s="147" t="s">
        <v>38</v>
      </c>
      <c r="AL38" s="147" t="s">
        <v>38</v>
      </c>
      <c r="AM38" s="147" t="s">
        <v>38</v>
      </c>
      <c r="AN38" s="147" t="s">
        <v>38</v>
      </c>
      <c r="AO38" s="146"/>
      <c r="AP38" s="63"/>
    </row>
    <row r="39" spans="1:42" ht="21.75" customHeight="1" x14ac:dyDescent="0.2">
      <c r="A39" s="343" t="s">
        <v>67</v>
      </c>
      <c r="B39" s="263" t="s">
        <v>110</v>
      </c>
      <c r="C39" s="75" t="s">
        <v>26</v>
      </c>
      <c r="D39" s="75">
        <v>1</v>
      </c>
      <c r="E39" s="75">
        <v>1</v>
      </c>
      <c r="F39" s="75" t="s">
        <v>38</v>
      </c>
      <c r="G39" s="76" t="s">
        <v>38</v>
      </c>
      <c r="H39" s="76" t="s">
        <v>38</v>
      </c>
      <c r="I39" s="76">
        <v>1</v>
      </c>
      <c r="J39" s="76" t="s">
        <v>38</v>
      </c>
      <c r="K39" s="130">
        <f t="shared" si="17"/>
        <v>3</v>
      </c>
      <c r="L39" s="131">
        <v>0</v>
      </c>
      <c r="M39" s="238">
        <f t="shared" si="18"/>
        <v>3</v>
      </c>
      <c r="N39" s="81">
        <v>0</v>
      </c>
      <c r="O39" s="81">
        <f>7.5*1.8</f>
        <v>13.5</v>
      </c>
      <c r="P39" s="82">
        <f t="shared" si="24"/>
        <v>13.5</v>
      </c>
      <c r="Q39" s="134">
        <f>P39/25</f>
        <v>0.54</v>
      </c>
      <c r="R39" s="84">
        <f t="shared" si="19"/>
        <v>14.175000000000001</v>
      </c>
      <c r="S39" s="135">
        <f>R39/25</f>
        <v>0.56700000000000006</v>
      </c>
      <c r="T39" s="96">
        <v>0</v>
      </c>
      <c r="U39" s="86">
        <v>52</v>
      </c>
      <c r="V39" s="136">
        <f>SUM(U39:U39)</f>
        <v>52</v>
      </c>
      <c r="W39" s="78">
        <f t="shared" si="12"/>
        <v>26</v>
      </c>
      <c r="X39" s="87">
        <f t="shared" si="21"/>
        <v>1.4857142857142858</v>
      </c>
      <c r="Y39" s="88">
        <f t="shared" si="15"/>
        <v>1.8571428571428572</v>
      </c>
      <c r="Z39" s="89">
        <f t="shared" si="26"/>
        <v>-2.46</v>
      </c>
      <c r="AA39" s="141">
        <f t="shared" si="27"/>
        <v>-1.5142857142857142</v>
      </c>
      <c r="AB39" s="89">
        <f t="shared" si="28"/>
        <v>-1.1428571428571428</v>
      </c>
      <c r="AC39" s="145">
        <v>3</v>
      </c>
      <c r="AD39" s="128" t="s">
        <v>38</v>
      </c>
      <c r="AE39" s="94" t="s">
        <v>38</v>
      </c>
      <c r="AF39" s="94" t="s">
        <v>38</v>
      </c>
      <c r="AG39" s="94" t="s">
        <v>38</v>
      </c>
      <c r="AH39" s="94" t="s">
        <v>38</v>
      </c>
      <c r="AI39" s="94" t="s">
        <v>38</v>
      </c>
      <c r="AJ39" s="147" t="s">
        <v>38</v>
      </c>
      <c r="AK39" s="147" t="s">
        <v>38</v>
      </c>
      <c r="AL39" s="147" t="s">
        <v>38</v>
      </c>
      <c r="AM39" s="147" t="s">
        <v>38</v>
      </c>
      <c r="AN39" s="147" t="s">
        <v>38</v>
      </c>
      <c r="AO39" s="146"/>
      <c r="AP39" s="63"/>
    </row>
    <row r="40" spans="1:42" ht="21.75" customHeight="1" x14ac:dyDescent="0.2">
      <c r="A40" s="343"/>
      <c r="B40" s="263" t="s">
        <v>111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 t="s">
        <v>38</v>
      </c>
      <c r="K40" s="130">
        <f t="shared" si="17"/>
        <v>3</v>
      </c>
      <c r="L40" s="131">
        <v>0</v>
      </c>
      <c r="M40" s="238">
        <f t="shared" si="18"/>
        <v>3</v>
      </c>
      <c r="N40" s="98">
        <v>0</v>
      </c>
      <c r="O40" s="81">
        <f>19.1666666666667*1.8</f>
        <v>34.500000000000064</v>
      </c>
      <c r="P40" s="82">
        <f t="shared" si="24"/>
        <v>34.500000000000064</v>
      </c>
      <c r="Q40" s="134">
        <f>P40/25</f>
        <v>1.3800000000000026</v>
      </c>
      <c r="R40" s="84">
        <f t="shared" si="19"/>
        <v>36.225000000000065</v>
      </c>
      <c r="S40" s="135">
        <f>R40/25</f>
        <v>1.4490000000000025</v>
      </c>
      <c r="T40" s="96">
        <v>0</v>
      </c>
      <c r="U40" s="86">
        <v>52</v>
      </c>
      <c r="V40" s="136">
        <f>SUM(U40:U40)</f>
        <v>52</v>
      </c>
      <c r="W40" s="78">
        <f t="shared" si="12"/>
        <v>26</v>
      </c>
      <c r="X40" s="87">
        <f t="shared" si="21"/>
        <v>1.4857142857142858</v>
      </c>
      <c r="Y40" s="88">
        <f t="shared" si="15"/>
        <v>1.8571428571428572</v>
      </c>
      <c r="Z40" s="89">
        <f t="shared" si="26"/>
        <v>-1.6199999999999974</v>
      </c>
      <c r="AA40" s="141">
        <f t="shared" si="27"/>
        <v>-1.5142857142857142</v>
      </c>
      <c r="AB40" s="89">
        <f t="shared" si="28"/>
        <v>-1.1428571428571428</v>
      </c>
      <c r="AC40" s="145">
        <v>3</v>
      </c>
      <c r="AD40" s="128" t="s">
        <v>38</v>
      </c>
      <c r="AE40" s="94" t="s">
        <v>38</v>
      </c>
      <c r="AF40" s="94" t="s">
        <v>38</v>
      </c>
      <c r="AG40" s="94" t="s">
        <v>38</v>
      </c>
      <c r="AH40" s="94" t="s">
        <v>38</v>
      </c>
      <c r="AI40" s="94" t="s">
        <v>38</v>
      </c>
      <c r="AJ40" s="147" t="s">
        <v>38</v>
      </c>
      <c r="AK40" s="147" t="s">
        <v>38</v>
      </c>
      <c r="AL40" s="147" t="s">
        <v>38</v>
      </c>
      <c r="AM40" s="147" t="s">
        <v>38</v>
      </c>
      <c r="AN40" s="147" t="s">
        <v>38</v>
      </c>
      <c r="AO40" s="146"/>
      <c r="AP40" s="63"/>
    </row>
    <row r="41" spans="1:42" ht="21.75" customHeight="1" x14ac:dyDescent="0.2">
      <c r="A41" s="343"/>
      <c r="B41" s="263" t="s">
        <v>25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2</v>
      </c>
      <c r="J41" s="76">
        <v>3</v>
      </c>
      <c r="K41" s="130">
        <f t="shared" si="17"/>
        <v>6</v>
      </c>
      <c r="L41" s="131">
        <v>0</v>
      </c>
      <c r="M41" s="238">
        <f t="shared" si="18"/>
        <v>6</v>
      </c>
      <c r="N41" s="133">
        <v>627.69444444444446</v>
      </c>
      <c r="O41" s="98">
        <v>0</v>
      </c>
      <c r="P41" s="82">
        <f t="shared" si="24"/>
        <v>627.69444444444446</v>
      </c>
      <c r="Q41" s="134">
        <f>P41/25</f>
        <v>25.107777777777777</v>
      </c>
      <c r="R41" s="84">
        <f t="shared" si="19"/>
        <v>659.07916666666665</v>
      </c>
      <c r="S41" s="135">
        <f>R41/25</f>
        <v>26.363166666666665</v>
      </c>
      <c r="T41" s="103">
        <v>317</v>
      </c>
      <c r="U41" s="136">
        <v>0</v>
      </c>
      <c r="V41" s="136">
        <f t="shared" ref="V41:V47" si="29">SUM(T41:U41)</f>
        <v>317</v>
      </c>
      <c r="W41" s="78">
        <f t="shared" si="12"/>
        <v>158.5</v>
      </c>
      <c r="X41" s="87">
        <f t="shared" si="21"/>
        <v>9.0571428571428569</v>
      </c>
      <c r="Y41" s="88">
        <f t="shared" si="15"/>
        <v>11.321428571428571</v>
      </c>
      <c r="Z41" s="89">
        <f t="shared" si="26"/>
        <v>19.107777777777777</v>
      </c>
      <c r="AA41" s="141">
        <f t="shared" si="27"/>
        <v>3.0571428571428569</v>
      </c>
      <c r="AB41" s="89">
        <f t="shared" si="28"/>
        <v>5.3214285714285712</v>
      </c>
      <c r="AC41" s="145">
        <v>5</v>
      </c>
      <c r="AD41" s="128" t="s">
        <v>38</v>
      </c>
      <c r="AE41" s="94">
        <v>2</v>
      </c>
      <c r="AF41" s="94" t="s">
        <v>38</v>
      </c>
      <c r="AG41" s="94" t="s">
        <v>38</v>
      </c>
      <c r="AH41" s="94" t="s">
        <v>38</v>
      </c>
      <c r="AI41" s="94" t="s">
        <v>38</v>
      </c>
      <c r="AJ41" s="147" t="s">
        <v>38</v>
      </c>
      <c r="AK41" s="147">
        <v>2</v>
      </c>
      <c r="AL41" s="147" t="s">
        <v>38</v>
      </c>
      <c r="AM41" s="147" t="s">
        <v>38</v>
      </c>
      <c r="AN41" s="147" t="s">
        <v>38</v>
      </c>
      <c r="AO41" s="146"/>
      <c r="AP41" s="63"/>
    </row>
    <row r="42" spans="1:42" ht="21.75" customHeight="1" x14ac:dyDescent="0.2">
      <c r="A42" s="127" t="s">
        <v>68</v>
      </c>
      <c r="B42" s="263" t="s">
        <v>21</v>
      </c>
      <c r="C42" s="75" t="s">
        <v>38</v>
      </c>
      <c r="D42" s="75" t="s">
        <v>38</v>
      </c>
      <c r="E42" s="75">
        <v>1</v>
      </c>
      <c r="F42" s="75" t="s">
        <v>38</v>
      </c>
      <c r="G42" s="76" t="s">
        <v>38</v>
      </c>
      <c r="H42" s="76" t="s">
        <v>38</v>
      </c>
      <c r="I42" s="76">
        <v>3</v>
      </c>
      <c r="J42" s="77">
        <v>4</v>
      </c>
      <c r="K42" s="130">
        <f t="shared" si="17"/>
        <v>8</v>
      </c>
      <c r="L42" s="131">
        <v>0</v>
      </c>
      <c r="M42" s="238">
        <f t="shared" si="18"/>
        <v>8</v>
      </c>
      <c r="N42" s="81">
        <v>153.77777777777777</v>
      </c>
      <c r="O42" s="81">
        <v>0</v>
      </c>
      <c r="P42" s="82">
        <f t="shared" si="24"/>
        <v>153.77777777777777</v>
      </c>
      <c r="Q42" s="83">
        <f>P42/30</f>
        <v>5.1259259259259258</v>
      </c>
      <c r="R42" s="84">
        <f t="shared" si="19"/>
        <v>161.46666666666667</v>
      </c>
      <c r="S42" s="83">
        <f>R42/30</f>
        <v>5.3822222222222225</v>
      </c>
      <c r="T42" s="103">
        <f>220+389</f>
        <v>609</v>
      </c>
      <c r="U42" s="85">
        <v>0</v>
      </c>
      <c r="V42" s="136">
        <f t="shared" si="29"/>
        <v>609</v>
      </c>
      <c r="W42" s="78">
        <f t="shared" si="12"/>
        <v>304.5</v>
      </c>
      <c r="X42" s="87">
        <f t="shared" si="21"/>
        <v>17.399999999999999</v>
      </c>
      <c r="Y42" s="88">
        <f t="shared" si="15"/>
        <v>21.75</v>
      </c>
      <c r="Z42" s="89">
        <f t="shared" si="26"/>
        <v>-2.8740740740740742</v>
      </c>
      <c r="AA42" s="141">
        <f t="shared" si="27"/>
        <v>9.3999999999999986</v>
      </c>
      <c r="AB42" s="89">
        <f t="shared" si="28"/>
        <v>13.75</v>
      </c>
      <c r="AC42" s="145">
        <v>5</v>
      </c>
      <c r="AD42" s="91">
        <f>P42/30</f>
        <v>5.1259259259259258</v>
      </c>
      <c r="AE42" s="94">
        <v>1</v>
      </c>
      <c r="AF42" s="94" t="s">
        <v>38</v>
      </c>
      <c r="AG42" s="94" t="s">
        <v>38</v>
      </c>
      <c r="AH42" s="94" t="s">
        <v>38</v>
      </c>
      <c r="AI42" s="94" t="s">
        <v>38</v>
      </c>
      <c r="AJ42" s="147" t="s">
        <v>38</v>
      </c>
      <c r="AK42" s="147" t="s">
        <v>38</v>
      </c>
      <c r="AL42" s="147" t="s">
        <v>38</v>
      </c>
      <c r="AM42" s="147" t="s">
        <v>38</v>
      </c>
      <c r="AN42" s="147" t="s">
        <v>38</v>
      </c>
      <c r="AO42" s="94"/>
      <c r="AP42" s="63"/>
    </row>
    <row r="43" spans="1:42" ht="21.75" customHeight="1" x14ac:dyDescent="0.2">
      <c r="A43" s="127" t="s">
        <v>69</v>
      </c>
      <c r="B43" s="263" t="s">
        <v>22</v>
      </c>
      <c r="C43" s="75" t="s">
        <v>38</v>
      </c>
      <c r="D43" s="75" t="s">
        <v>38</v>
      </c>
      <c r="E43" s="75" t="s">
        <v>38</v>
      </c>
      <c r="F43" s="75">
        <v>1</v>
      </c>
      <c r="G43" s="76" t="s">
        <v>38</v>
      </c>
      <c r="H43" s="76" t="s">
        <v>38</v>
      </c>
      <c r="I43" s="76">
        <v>2</v>
      </c>
      <c r="J43" s="77">
        <v>2</v>
      </c>
      <c r="K43" s="78">
        <f t="shared" si="17"/>
        <v>5</v>
      </c>
      <c r="L43" s="79">
        <v>0</v>
      </c>
      <c r="M43" s="218">
        <f t="shared" si="18"/>
        <v>5</v>
      </c>
      <c r="N43" s="81">
        <v>75.611111111111114</v>
      </c>
      <c r="O43" s="81">
        <v>0</v>
      </c>
      <c r="P43" s="82">
        <f t="shared" si="24"/>
        <v>75.611111111111114</v>
      </c>
      <c r="Q43" s="83">
        <f>P43/8</f>
        <v>9.4513888888888893</v>
      </c>
      <c r="R43" s="84">
        <f t="shared" si="19"/>
        <v>79.391666666666666</v>
      </c>
      <c r="S43" s="83">
        <f>R43/8</f>
        <v>9.9239583333333332</v>
      </c>
      <c r="T43" s="103">
        <v>211</v>
      </c>
      <c r="U43" s="85">
        <v>0</v>
      </c>
      <c r="V43" s="136">
        <f t="shared" si="29"/>
        <v>211</v>
      </c>
      <c r="W43" s="78">
        <f t="shared" si="12"/>
        <v>105.5</v>
      </c>
      <c r="X43" s="87">
        <f t="shared" si="21"/>
        <v>6.0285714285714285</v>
      </c>
      <c r="Y43" s="88">
        <f t="shared" si="15"/>
        <v>7.5357142857142856</v>
      </c>
      <c r="Z43" s="89">
        <f t="shared" si="26"/>
        <v>4.4513888888888893</v>
      </c>
      <c r="AA43" s="141">
        <f t="shared" si="27"/>
        <v>1.0285714285714285</v>
      </c>
      <c r="AB43" s="89">
        <f t="shared" si="28"/>
        <v>2.5357142857142856</v>
      </c>
      <c r="AC43" s="145">
        <v>5</v>
      </c>
      <c r="AD43" s="128" t="s">
        <v>38</v>
      </c>
      <c r="AE43" s="94" t="s">
        <v>38</v>
      </c>
      <c r="AF43" s="94" t="s">
        <v>38</v>
      </c>
      <c r="AG43" s="94" t="s">
        <v>38</v>
      </c>
      <c r="AH43" s="94" t="s">
        <v>38</v>
      </c>
      <c r="AI43" s="94" t="s">
        <v>38</v>
      </c>
      <c r="AJ43" s="147" t="s">
        <v>38</v>
      </c>
      <c r="AK43" s="147" t="s">
        <v>38</v>
      </c>
      <c r="AL43" s="147" t="s">
        <v>38</v>
      </c>
      <c r="AM43" s="147" t="s">
        <v>38</v>
      </c>
      <c r="AN43" s="147" t="s">
        <v>38</v>
      </c>
      <c r="AO43" s="146"/>
      <c r="AP43" s="63"/>
    </row>
    <row r="44" spans="1:42" ht="21.75" customHeight="1" x14ac:dyDescent="0.2">
      <c r="A44" s="127" t="s">
        <v>70</v>
      </c>
      <c r="B44" s="263" t="s">
        <v>24</v>
      </c>
      <c r="C44" s="75" t="s">
        <v>38</v>
      </c>
      <c r="D44" s="75" t="s">
        <v>38</v>
      </c>
      <c r="E44" s="75">
        <v>0</v>
      </c>
      <c r="F44" s="75" t="s">
        <v>38</v>
      </c>
      <c r="G44" s="76" t="s">
        <v>38</v>
      </c>
      <c r="H44" s="76" t="s">
        <v>38</v>
      </c>
      <c r="I44" s="76">
        <v>1</v>
      </c>
      <c r="J44" s="77">
        <v>3</v>
      </c>
      <c r="K44" s="78">
        <f t="shared" si="17"/>
        <v>4</v>
      </c>
      <c r="L44" s="79">
        <v>0</v>
      </c>
      <c r="M44" s="218">
        <f t="shared" si="18"/>
        <v>4</v>
      </c>
      <c r="N44" s="81">
        <v>125.66666666666666</v>
      </c>
      <c r="O44" s="81">
        <v>0</v>
      </c>
      <c r="P44" s="82">
        <f t="shared" si="24"/>
        <v>125.66666666666666</v>
      </c>
      <c r="Q44" s="83">
        <f>P44/25</f>
        <v>5.0266666666666664</v>
      </c>
      <c r="R44" s="84">
        <f t="shared" si="19"/>
        <v>131.94999999999999</v>
      </c>
      <c r="S44" s="83">
        <f>R44/25</f>
        <v>5.2779999999999996</v>
      </c>
      <c r="T44" s="103">
        <v>108</v>
      </c>
      <c r="U44" s="85">
        <v>0</v>
      </c>
      <c r="V44" s="136">
        <f t="shared" si="29"/>
        <v>108</v>
      </c>
      <c r="W44" s="78">
        <f t="shared" si="12"/>
        <v>54</v>
      </c>
      <c r="X44" s="87">
        <f t="shared" si="21"/>
        <v>3.0857142857142859</v>
      </c>
      <c r="Y44" s="88">
        <f t="shared" si="15"/>
        <v>3.8571428571428572</v>
      </c>
      <c r="Z44" s="89">
        <f t="shared" si="26"/>
        <v>1.0266666666666664</v>
      </c>
      <c r="AA44" s="141">
        <f t="shared" si="27"/>
        <v>-0.91428571428571415</v>
      </c>
      <c r="AB44" s="89">
        <f t="shared" si="28"/>
        <v>-0.14285714285714279</v>
      </c>
      <c r="AC44" s="145">
        <v>5</v>
      </c>
      <c r="AD44" s="128" t="s">
        <v>38</v>
      </c>
      <c r="AE44" s="94" t="s">
        <v>38</v>
      </c>
      <c r="AF44" s="94">
        <v>1</v>
      </c>
      <c r="AG44" s="94" t="s">
        <v>38</v>
      </c>
      <c r="AH44" s="94" t="s">
        <v>38</v>
      </c>
      <c r="AI44" s="94" t="s">
        <v>38</v>
      </c>
      <c r="AJ44" s="147" t="s">
        <v>38</v>
      </c>
      <c r="AK44" s="147" t="s">
        <v>38</v>
      </c>
      <c r="AL44" s="147" t="s">
        <v>38</v>
      </c>
      <c r="AM44" s="147" t="s">
        <v>38</v>
      </c>
      <c r="AN44" s="147" t="s">
        <v>38</v>
      </c>
      <c r="AO44" s="146"/>
      <c r="AP44" s="63"/>
    </row>
    <row r="45" spans="1:42" ht="21.75" customHeight="1" x14ac:dyDescent="0.2">
      <c r="A45" s="127" t="s">
        <v>199</v>
      </c>
      <c r="B45" s="263" t="s">
        <v>198</v>
      </c>
      <c r="C45" s="75" t="s">
        <v>38</v>
      </c>
      <c r="D45" s="75" t="s">
        <v>38</v>
      </c>
      <c r="E45" s="75" t="s">
        <v>38</v>
      </c>
      <c r="F45" s="75">
        <v>1</v>
      </c>
      <c r="G45" s="76" t="s">
        <v>38</v>
      </c>
      <c r="H45" s="76" t="s">
        <v>38</v>
      </c>
      <c r="I45" s="76">
        <v>1</v>
      </c>
      <c r="J45" s="76">
        <v>2</v>
      </c>
      <c r="K45" s="130">
        <f>SUM(D45:J45)</f>
        <v>4</v>
      </c>
      <c r="L45" s="131">
        <v>0</v>
      </c>
      <c r="M45" s="238">
        <f>K45-L45</f>
        <v>4</v>
      </c>
      <c r="N45" s="133">
        <v>93.944444444444443</v>
      </c>
      <c r="O45" s="98">
        <v>0</v>
      </c>
      <c r="P45" s="82">
        <f>SUM(N45:O45)</f>
        <v>93.944444444444443</v>
      </c>
      <c r="Q45" s="134">
        <f>P45/25</f>
        <v>3.7577777777777777</v>
      </c>
      <c r="R45" s="84">
        <f>(P45*0.05)+P45</f>
        <v>98.641666666666666</v>
      </c>
      <c r="S45" s="135">
        <f>R45/25</f>
        <v>3.9456666666666664</v>
      </c>
      <c r="T45" s="136">
        <f>75+24</f>
        <v>99</v>
      </c>
      <c r="U45" s="136">
        <v>0</v>
      </c>
      <c r="V45" s="136">
        <f>SUM(T45:U45)</f>
        <v>99</v>
      </c>
      <c r="W45" s="78">
        <f>V45/2</f>
        <v>49.5</v>
      </c>
      <c r="X45" s="87">
        <f>V45/35</f>
        <v>2.8285714285714287</v>
      </c>
      <c r="Y45" s="88">
        <f>W45/14</f>
        <v>3.5357142857142856</v>
      </c>
      <c r="Z45" s="89">
        <f>Q45-M45</f>
        <v>-0.24222222222222234</v>
      </c>
      <c r="AA45" s="141">
        <f>X45-M45</f>
        <v>-1.1714285714285713</v>
      </c>
      <c r="AB45" s="89">
        <f>Y45-M45</f>
        <v>-0.46428571428571441</v>
      </c>
      <c r="AC45" s="145">
        <v>5</v>
      </c>
      <c r="AD45" s="128" t="s">
        <v>38</v>
      </c>
      <c r="AE45" s="94" t="s">
        <v>38</v>
      </c>
      <c r="AF45" s="94" t="s">
        <v>38</v>
      </c>
      <c r="AG45" s="94" t="s">
        <v>38</v>
      </c>
      <c r="AH45" s="94" t="s">
        <v>38</v>
      </c>
      <c r="AI45" s="94" t="s">
        <v>38</v>
      </c>
      <c r="AJ45" s="147" t="s">
        <v>38</v>
      </c>
      <c r="AK45" s="147" t="s">
        <v>38</v>
      </c>
      <c r="AL45" s="147" t="s">
        <v>38</v>
      </c>
      <c r="AM45" s="147" t="s">
        <v>38</v>
      </c>
      <c r="AN45" s="147" t="s">
        <v>38</v>
      </c>
      <c r="AO45" s="146"/>
      <c r="AP45" s="63"/>
    </row>
    <row r="46" spans="1:42" s="18" customFormat="1" ht="21.75" customHeight="1" x14ac:dyDescent="0.2">
      <c r="A46" s="148" t="s">
        <v>71</v>
      </c>
      <c r="B46" s="265"/>
      <c r="C46" s="149">
        <f t="shared" ref="C46:Q46" si="30">SUM(C47:C72)</f>
        <v>0</v>
      </c>
      <c r="D46" s="149">
        <f t="shared" si="30"/>
        <v>4</v>
      </c>
      <c r="E46" s="149">
        <f t="shared" si="30"/>
        <v>23</v>
      </c>
      <c r="F46" s="149">
        <f t="shared" si="30"/>
        <v>13</v>
      </c>
      <c r="G46" s="149">
        <f t="shared" si="30"/>
        <v>0</v>
      </c>
      <c r="H46" s="149">
        <f t="shared" si="30"/>
        <v>2</v>
      </c>
      <c r="I46" s="149">
        <f t="shared" si="30"/>
        <v>43</v>
      </c>
      <c r="J46" s="149">
        <f t="shared" si="30"/>
        <v>64</v>
      </c>
      <c r="K46" s="150">
        <f t="shared" si="30"/>
        <v>149</v>
      </c>
      <c r="L46" s="150">
        <f t="shared" si="30"/>
        <v>6</v>
      </c>
      <c r="M46" s="150">
        <f t="shared" si="30"/>
        <v>143</v>
      </c>
      <c r="N46" s="251">
        <f t="shared" si="30"/>
        <v>2282.0855555555554</v>
      </c>
      <c r="O46" s="251">
        <f t="shared" si="30"/>
        <v>45.624999999999993</v>
      </c>
      <c r="P46" s="251">
        <f t="shared" si="30"/>
        <v>2327.7105555555554</v>
      </c>
      <c r="Q46" s="66">
        <f t="shared" si="30"/>
        <v>100.50313888888893</v>
      </c>
      <c r="R46" s="152">
        <f t="shared" si="19"/>
        <v>2444.0960833333334</v>
      </c>
      <c r="S46" s="66">
        <f>SUM(S47:S72)</f>
        <v>107.99334583333335</v>
      </c>
      <c r="T46" s="251">
        <f>SUM(T47:T72)</f>
        <v>3793</v>
      </c>
      <c r="U46" s="254">
        <v>0</v>
      </c>
      <c r="V46" s="253">
        <f t="shared" si="29"/>
        <v>3793</v>
      </c>
      <c r="W46" s="251">
        <f t="shared" si="12"/>
        <v>1896.5</v>
      </c>
      <c r="X46" s="155">
        <f t="shared" si="21"/>
        <v>108.37142857142857</v>
      </c>
      <c r="Y46" s="155">
        <f t="shared" si="15"/>
        <v>135.46428571428572</v>
      </c>
      <c r="Z46" s="69">
        <f>SUM(Z47:Z72)</f>
        <v>-37.496861111111109</v>
      </c>
      <c r="AA46" s="69">
        <f>SUM(AA47:AA72)</f>
        <v>-24.857142857142858</v>
      </c>
      <c r="AB46" s="69">
        <f t="shared" si="28"/>
        <v>-7.5357142857142776</v>
      </c>
      <c r="AC46" s="66">
        <f>SUM(AC47:AC72)</f>
        <v>120</v>
      </c>
      <c r="AD46" s="65">
        <v>0</v>
      </c>
      <c r="AE46" s="150">
        <f t="shared" ref="AE46:AN46" si="31">SUM(AE47:AE72)</f>
        <v>1</v>
      </c>
      <c r="AF46" s="150">
        <f t="shared" si="31"/>
        <v>3</v>
      </c>
      <c r="AG46" s="150">
        <f t="shared" si="31"/>
        <v>2</v>
      </c>
      <c r="AH46" s="150">
        <f t="shared" si="31"/>
        <v>5</v>
      </c>
      <c r="AI46" s="150">
        <f t="shared" si="31"/>
        <v>0</v>
      </c>
      <c r="AJ46" s="65">
        <f t="shared" si="31"/>
        <v>0</v>
      </c>
      <c r="AK46" s="65">
        <f t="shared" si="31"/>
        <v>0</v>
      </c>
      <c r="AL46" s="65">
        <f t="shared" si="31"/>
        <v>0</v>
      </c>
      <c r="AM46" s="65">
        <f t="shared" si="31"/>
        <v>0</v>
      </c>
      <c r="AN46" s="65">
        <f t="shared" si="31"/>
        <v>0</v>
      </c>
      <c r="AO46" s="156"/>
      <c r="AP46" s="72"/>
    </row>
    <row r="47" spans="1:42" ht="21.75" customHeight="1" x14ac:dyDescent="0.2">
      <c r="A47" s="323" t="s">
        <v>72</v>
      </c>
      <c r="B47" s="263" t="s">
        <v>27</v>
      </c>
      <c r="C47" s="158" t="s">
        <v>38</v>
      </c>
      <c r="D47" s="158" t="s">
        <v>38</v>
      </c>
      <c r="E47" s="158">
        <v>1</v>
      </c>
      <c r="F47" s="158">
        <v>2</v>
      </c>
      <c r="G47" s="76" t="s">
        <v>38</v>
      </c>
      <c r="H47" s="76" t="s">
        <v>38</v>
      </c>
      <c r="I47" s="76">
        <v>1</v>
      </c>
      <c r="J47" s="77">
        <v>4</v>
      </c>
      <c r="K47" s="299">
        <f t="shared" ref="K47:K60" si="32">SUM(D47:J47)</f>
        <v>8</v>
      </c>
      <c r="L47" s="79">
        <v>0</v>
      </c>
      <c r="M47" s="124">
        <f t="shared" ref="M47:M72" si="33">K47-L47</f>
        <v>8</v>
      </c>
      <c r="N47" s="81">
        <v>102.13888888888889</v>
      </c>
      <c r="O47" s="81">
        <v>0</v>
      </c>
      <c r="P47" s="82">
        <f>SUM(N47:O47)</f>
        <v>102.13888888888889</v>
      </c>
      <c r="Q47" s="83">
        <f>P47/20</f>
        <v>5.1069444444444443</v>
      </c>
      <c r="R47" s="84">
        <f t="shared" si="19"/>
        <v>107.24583333333334</v>
      </c>
      <c r="S47" s="83">
        <f>R47/20</f>
        <v>5.3622916666666667</v>
      </c>
      <c r="T47" s="103">
        <v>203</v>
      </c>
      <c r="U47" s="85">
        <v>0</v>
      </c>
      <c r="V47" s="136">
        <f t="shared" si="29"/>
        <v>203</v>
      </c>
      <c r="W47" s="78">
        <f t="shared" si="12"/>
        <v>101.5</v>
      </c>
      <c r="X47" s="87">
        <f t="shared" si="21"/>
        <v>5.8</v>
      </c>
      <c r="Y47" s="88">
        <f t="shared" si="15"/>
        <v>7.25</v>
      </c>
      <c r="Z47" s="89">
        <f t="shared" ref="Z47:Z72" si="34">Q47-M47</f>
        <v>-2.8930555555555557</v>
      </c>
      <c r="AA47" s="89">
        <f t="shared" ref="AA47:AA72" si="35">X47-M47</f>
        <v>-2.2000000000000002</v>
      </c>
      <c r="AB47" s="89">
        <f t="shared" si="28"/>
        <v>-0.75</v>
      </c>
      <c r="AC47" s="159">
        <v>5</v>
      </c>
      <c r="AD47" s="160" t="s">
        <v>38</v>
      </c>
      <c r="AE47" s="94" t="s">
        <v>38</v>
      </c>
      <c r="AF47" s="94">
        <v>1</v>
      </c>
      <c r="AG47" s="94" t="s">
        <v>38</v>
      </c>
      <c r="AH47" s="146">
        <v>1</v>
      </c>
      <c r="AI47" s="94" t="s">
        <v>38</v>
      </c>
      <c r="AJ47" s="147" t="s">
        <v>38</v>
      </c>
      <c r="AK47" s="147" t="s">
        <v>38</v>
      </c>
      <c r="AL47" s="147" t="s">
        <v>38</v>
      </c>
      <c r="AM47" s="147" t="s">
        <v>38</v>
      </c>
      <c r="AN47" s="147" t="s">
        <v>38</v>
      </c>
      <c r="AO47" s="146"/>
      <c r="AP47" s="63"/>
    </row>
    <row r="48" spans="1:42" ht="21.75" customHeight="1" x14ac:dyDescent="0.2">
      <c r="A48" s="342" t="s">
        <v>73</v>
      </c>
      <c r="B48" s="263" t="s">
        <v>112</v>
      </c>
      <c r="C48" s="158" t="s">
        <v>38</v>
      </c>
      <c r="D48" s="158" t="s">
        <v>38</v>
      </c>
      <c r="E48" s="158">
        <v>1</v>
      </c>
      <c r="F48" s="158" t="s">
        <v>38</v>
      </c>
      <c r="G48" s="76" t="s">
        <v>38</v>
      </c>
      <c r="H48" s="76" t="s">
        <v>38</v>
      </c>
      <c r="I48" s="76">
        <v>2</v>
      </c>
      <c r="J48" s="77" t="s">
        <v>38</v>
      </c>
      <c r="K48" s="299">
        <f t="shared" si="32"/>
        <v>3</v>
      </c>
      <c r="L48" s="79">
        <v>0</v>
      </c>
      <c r="M48" s="124">
        <f t="shared" si="33"/>
        <v>3</v>
      </c>
      <c r="N48" s="161">
        <v>0</v>
      </c>
      <c r="O48" s="98">
        <f>9.20833333333333*2</f>
        <v>18.416666666666661</v>
      </c>
      <c r="P48" s="82">
        <f>SUM(O48:O48)</f>
        <v>18.416666666666661</v>
      </c>
      <c r="Q48" s="83">
        <f>P48/30</f>
        <v>0.61388888888888871</v>
      </c>
      <c r="R48" s="84">
        <f t="shared" si="19"/>
        <v>19.337499999999995</v>
      </c>
      <c r="S48" s="83">
        <f>R48/30</f>
        <v>0.64458333333333317</v>
      </c>
      <c r="T48" s="96">
        <v>0</v>
      </c>
      <c r="U48" s="86">
        <v>27</v>
      </c>
      <c r="V48" s="136">
        <f>SUM(U48:U48)</f>
        <v>27</v>
      </c>
      <c r="W48" s="78">
        <f t="shared" si="12"/>
        <v>13.5</v>
      </c>
      <c r="X48" s="87">
        <f t="shared" si="21"/>
        <v>0.77142857142857146</v>
      </c>
      <c r="Y48" s="88">
        <f t="shared" si="15"/>
        <v>0.9642857142857143</v>
      </c>
      <c r="Z48" s="89">
        <f t="shared" si="34"/>
        <v>-2.3861111111111111</v>
      </c>
      <c r="AA48" s="89">
        <f t="shared" si="35"/>
        <v>-2.2285714285714286</v>
      </c>
      <c r="AB48" s="89">
        <f t="shared" si="28"/>
        <v>-2.0357142857142856</v>
      </c>
      <c r="AC48" s="159">
        <v>3</v>
      </c>
      <c r="AD48" s="160" t="s">
        <v>38</v>
      </c>
      <c r="AE48" s="94" t="s">
        <v>38</v>
      </c>
      <c r="AF48" s="94" t="s">
        <v>38</v>
      </c>
      <c r="AG48" s="94" t="s">
        <v>38</v>
      </c>
      <c r="AH48" s="94" t="s">
        <v>38</v>
      </c>
      <c r="AI48" s="94" t="s">
        <v>38</v>
      </c>
      <c r="AJ48" s="147" t="s">
        <v>38</v>
      </c>
      <c r="AK48" s="147" t="s">
        <v>38</v>
      </c>
      <c r="AL48" s="147" t="s">
        <v>38</v>
      </c>
      <c r="AM48" s="147" t="s">
        <v>38</v>
      </c>
      <c r="AN48" s="147" t="s">
        <v>38</v>
      </c>
      <c r="AO48" s="146"/>
      <c r="AP48" s="63"/>
    </row>
    <row r="49" spans="1:42" ht="21.75" customHeight="1" x14ac:dyDescent="0.2">
      <c r="A49" s="342"/>
      <c r="B49" s="263" t="s">
        <v>113</v>
      </c>
      <c r="C49" s="158" t="s">
        <v>38</v>
      </c>
      <c r="D49" s="158" t="s">
        <v>38</v>
      </c>
      <c r="E49" s="158">
        <v>1</v>
      </c>
      <c r="F49" s="158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299">
        <f t="shared" si="32"/>
        <v>5</v>
      </c>
      <c r="L49" s="79">
        <v>0</v>
      </c>
      <c r="M49" s="124">
        <f t="shared" si="33"/>
        <v>5</v>
      </c>
      <c r="N49" s="98">
        <v>36.638888888888886</v>
      </c>
      <c r="O49" s="98">
        <v>0</v>
      </c>
      <c r="P49" s="82">
        <f t="shared" ref="P49:P72" si="36">SUM(N49:O49)</f>
        <v>36.638888888888886</v>
      </c>
      <c r="Q49" s="83">
        <f>P49/20</f>
        <v>1.8319444444444444</v>
      </c>
      <c r="R49" s="84">
        <f t="shared" si="19"/>
        <v>38.470833333333331</v>
      </c>
      <c r="S49" s="83">
        <f>R49/20</f>
        <v>1.9235416666666665</v>
      </c>
      <c r="T49" s="85">
        <v>178</v>
      </c>
      <c r="U49" s="85">
        <v>0</v>
      </c>
      <c r="V49" s="136">
        <f t="shared" ref="V49:V54" si="37">SUM(T49:U49)</f>
        <v>178</v>
      </c>
      <c r="W49" s="78">
        <f t="shared" si="12"/>
        <v>89</v>
      </c>
      <c r="X49" s="87">
        <f t="shared" si="21"/>
        <v>5.0857142857142854</v>
      </c>
      <c r="Y49" s="88">
        <f t="shared" si="15"/>
        <v>6.3571428571428568</v>
      </c>
      <c r="Z49" s="89">
        <f t="shared" si="34"/>
        <v>-3.1680555555555556</v>
      </c>
      <c r="AA49" s="89">
        <f t="shared" si="35"/>
        <v>8.571428571428541E-2</v>
      </c>
      <c r="AB49" s="89">
        <f t="shared" si="28"/>
        <v>1.3571428571428568</v>
      </c>
      <c r="AC49" s="159">
        <v>5</v>
      </c>
      <c r="AD49" s="160" t="s">
        <v>38</v>
      </c>
      <c r="AE49" s="94" t="s">
        <v>38</v>
      </c>
      <c r="AF49" s="94" t="s">
        <v>38</v>
      </c>
      <c r="AG49" s="94" t="s">
        <v>38</v>
      </c>
      <c r="AH49" s="94" t="s">
        <v>38</v>
      </c>
      <c r="AI49" s="94" t="s">
        <v>38</v>
      </c>
      <c r="AJ49" s="147" t="s">
        <v>38</v>
      </c>
      <c r="AK49" s="147" t="s">
        <v>38</v>
      </c>
      <c r="AL49" s="147" t="s">
        <v>38</v>
      </c>
      <c r="AM49" s="147" t="s">
        <v>38</v>
      </c>
      <c r="AN49" s="147" t="s">
        <v>38</v>
      </c>
      <c r="AO49" s="146"/>
      <c r="AP49" s="63"/>
    </row>
    <row r="50" spans="1:42" ht="21.75" customHeight="1" x14ac:dyDescent="0.2">
      <c r="A50" s="342"/>
      <c r="B50" s="263" t="s">
        <v>114</v>
      </c>
      <c r="C50" s="158" t="s">
        <v>38</v>
      </c>
      <c r="D50" s="158" t="s">
        <v>38</v>
      </c>
      <c r="E50" s="158">
        <v>2</v>
      </c>
      <c r="F50" s="158" t="s">
        <v>38</v>
      </c>
      <c r="G50" s="76" t="s">
        <v>38</v>
      </c>
      <c r="H50" s="76" t="s">
        <v>38</v>
      </c>
      <c r="I50" s="76" t="s">
        <v>38</v>
      </c>
      <c r="J50" s="77">
        <v>4</v>
      </c>
      <c r="K50" s="299">
        <f t="shared" si="32"/>
        <v>6</v>
      </c>
      <c r="L50" s="79">
        <v>0</v>
      </c>
      <c r="M50" s="124">
        <f t="shared" si="33"/>
        <v>6</v>
      </c>
      <c r="N50" s="98">
        <v>234.02777777777777</v>
      </c>
      <c r="O50" s="98">
        <v>0</v>
      </c>
      <c r="P50" s="82">
        <f t="shared" si="36"/>
        <v>234.02777777777777</v>
      </c>
      <c r="Q50" s="83">
        <f>P50/30</f>
        <v>7.8009259259259256</v>
      </c>
      <c r="R50" s="84">
        <f t="shared" si="19"/>
        <v>245.72916666666666</v>
      </c>
      <c r="S50" s="83">
        <f>R50/30</f>
        <v>8.1909722222222214</v>
      </c>
      <c r="T50" s="85">
        <v>126</v>
      </c>
      <c r="U50" s="85">
        <v>0</v>
      </c>
      <c r="V50" s="136">
        <f t="shared" si="37"/>
        <v>126</v>
      </c>
      <c r="W50" s="78">
        <f t="shared" si="12"/>
        <v>63</v>
      </c>
      <c r="X50" s="87">
        <f t="shared" si="21"/>
        <v>3.6</v>
      </c>
      <c r="Y50" s="88">
        <f t="shared" si="15"/>
        <v>4.5</v>
      </c>
      <c r="Z50" s="89">
        <f t="shared" si="34"/>
        <v>1.8009259259259256</v>
      </c>
      <c r="AA50" s="89">
        <f t="shared" si="35"/>
        <v>-2.4</v>
      </c>
      <c r="AB50" s="89">
        <f t="shared" si="28"/>
        <v>-1.5</v>
      </c>
      <c r="AC50" s="159">
        <v>5</v>
      </c>
      <c r="AD50" s="160" t="s">
        <v>38</v>
      </c>
      <c r="AE50" s="94" t="s">
        <v>38</v>
      </c>
      <c r="AF50" s="94" t="s">
        <v>38</v>
      </c>
      <c r="AG50" s="94" t="s">
        <v>38</v>
      </c>
      <c r="AH50" s="94" t="s">
        <v>38</v>
      </c>
      <c r="AI50" s="94" t="s">
        <v>38</v>
      </c>
      <c r="AJ50" s="147" t="s">
        <v>38</v>
      </c>
      <c r="AK50" s="147" t="s">
        <v>38</v>
      </c>
      <c r="AL50" s="147" t="s">
        <v>38</v>
      </c>
      <c r="AM50" s="147" t="s">
        <v>38</v>
      </c>
      <c r="AN50" s="147" t="s">
        <v>38</v>
      </c>
      <c r="AO50" s="146"/>
      <c r="AP50" s="63"/>
    </row>
    <row r="51" spans="1:42" ht="21.75" customHeight="1" x14ac:dyDescent="0.2">
      <c r="A51" s="342" t="s">
        <v>74</v>
      </c>
      <c r="B51" s="263" t="s">
        <v>27</v>
      </c>
      <c r="C51" s="300" t="s">
        <v>38</v>
      </c>
      <c r="D51" s="300" t="s">
        <v>38</v>
      </c>
      <c r="E51" s="300">
        <v>1</v>
      </c>
      <c r="F51" s="300">
        <v>1</v>
      </c>
      <c r="G51" s="301" t="s">
        <v>38</v>
      </c>
      <c r="H51" s="301" t="s">
        <v>38</v>
      </c>
      <c r="I51" s="301">
        <v>3</v>
      </c>
      <c r="J51" s="302">
        <v>8</v>
      </c>
      <c r="K51" s="126">
        <v>13</v>
      </c>
      <c r="L51" s="79">
        <v>1</v>
      </c>
      <c r="M51" s="303">
        <v>12</v>
      </c>
      <c r="N51" s="98">
        <v>70.722222222222229</v>
      </c>
      <c r="O51" s="98">
        <v>0</v>
      </c>
      <c r="P51" s="82">
        <f t="shared" si="36"/>
        <v>70.722222222222229</v>
      </c>
      <c r="Q51" s="83">
        <f>P51/20</f>
        <v>3.5361111111111114</v>
      </c>
      <c r="R51" s="84">
        <f t="shared" si="19"/>
        <v>74.25833333333334</v>
      </c>
      <c r="S51" s="83">
        <f>R51/20</f>
        <v>3.7129166666666671</v>
      </c>
      <c r="T51" s="103">
        <v>245</v>
      </c>
      <c r="U51" s="85">
        <v>0</v>
      </c>
      <c r="V51" s="136">
        <f t="shared" si="37"/>
        <v>245</v>
      </c>
      <c r="W51" s="78">
        <f t="shared" si="12"/>
        <v>122.5</v>
      </c>
      <c r="X51" s="87">
        <f t="shared" si="21"/>
        <v>7</v>
      </c>
      <c r="Y51" s="88">
        <f t="shared" si="15"/>
        <v>8.75</v>
      </c>
      <c r="Z51" s="89">
        <f t="shared" si="34"/>
        <v>-8.4638888888888886</v>
      </c>
      <c r="AA51" s="89">
        <f t="shared" si="35"/>
        <v>-5</v>
      </c>
      <c r="AB51" s="89">
        <f t="shared" si="28"/>
        <v>-3.25</v>
      </c>
      <c r="AC51" s="159">
        <v>5</v>
      </c>
      <c r="AD51" s="160" t="s">
        <v>38</v>
      </c>
      <c r="AE51" s="94" t="s">
        <v>38</v>
      </c>
      <c r="AF51" s="94" t="s">
        <v>38</v>
      </c>
      <c r="AG51" s="94">
        <v>1</v>
      </c>
      <c r="AH51" s="94" t="s">
        <v>38</v>
      </c>
      <c r="AI51" s="94" t="s">
        <v>38</v>
      </c>
      <c r="AJ51" s="147" t="s">
        <v>38</v>
      </c>
      <c r="AK51" s="147" t="s">
        <v>38</v>
      </c>
      <c r="AL51" s="147" t="s">
        <v>38</v>
      </c>
      <c r="AM51" s="147" t="s">
        <v>38</v>
      </c>
      <c r="AN51" s="147" t="s">
        <v>38</v>
      </c>
      <c r="AO51" s="146"/>
      <c r="AP51" s="63"/>
    </row>
    <row r="52" spans="1:42" ht="21.75" customHeight="1" x14ac:dyDescent="0.2">
      <c r="A52" s="342"/>
      <c r="B52" s="263" t="s">
        <v>21</v>
      </c>
      <c r="C52" s="300" t="s">
        <v>38</v>
      </c>
      <c r="D52" s="300" t="s">
        <v>38</v>
      </c>
      <c r="E52" s="300">
        <v>2</v>
      </c>
      <c r="F52" s="300" t="s">
        <v>38</v>
      </c>
      <c r="G52" s="301" t="s">
        <v>38</v>
      </c>
      <c r="H52" s="301" t="s">
        <v>38</v>
      </c>
      <c r="I52" s="301">
        <v>2</v>
      </c>
      <c r="J52" s="302">
        <v>2</v>
      </c>
      <c r="K52" s="126">
        <v>6</v>
      </c>
      <c r="L52" s="79">
        <v>0</v>
      </c>
      <c r="M52" s="303">
        <v>6</v>
      </c>
      <c r="N52" s="98">
        <v>119.86111111111111</v>
      </c>
      <c r="O52" s="98">
        <v>0</v>
      </c>
      <c r="P52" s="82">
        <f t="shared" si="36"/>
        <v>119.86111111111111</v>
      </c>
      <c r="Q52" s="83">
        <f>P52/30</f>
        <v>3.9953703703703707</v>
      </c>
      <c r="R52" s="84">
        <f t="shared" si="19"/>
        <v>125.85416666666667</v>
      </c>
      <c r="S52" s="83">
        <f>R52/30</f>
        <v>4.1951388888888888</v>
      </c>
      <c r="T52" s="103">
        <v>149</v>
      </c>
      <c r="U52" s="85">
        <v>0</v>
      </c>
      <c r="V52" s="136">
        <f t="shared" si="37"/>
        <v>149</v>
      </c>
      <c r="W52" s="78">
        <f t="shared" si="12"/>
        <v>74.5</v>
      </c>
      <c r="X52" s="87">
        <f t="shared" si="21"/>
        <v>4.2571428571428571</v>
      </c>
      <c r="Y52" s="88">
        <f t="shared" si="15"/>
        <v>5.3214285714285712</v>
      </c>
      <c r="Z52" s="89">
        <f t="shared" si="34"/>
        <v>-2.0046296296296293</v>
      </c>
      <c r="AA52" s="89">
        <f t="shared" si="35"/>
        <v>-1.7428571428571429</v>
      </c>
      <c r="AB52" s="89">
        <f t="shared" si="28"/>
        <v>-0.67857142857142883</v>
      </c>
      <c r="AC52" s="159">
        <v>5</v>
      </c>
      <c r="AD52" s="91">
        <f>P52/30</f>
        <v>3.9953703703703707</v>
      </c>
      <c r="AE52" s="94" t="s">
        <v>38</v>
      </c>
      <c r="AF52" s="94" t="s">
        <v>38</v>
      </c>
      <c r="AG52" s="94" t="s">
        <v>38</v>
      </c>
      <c r="AH52" s="94" t="s">
        <v>38</v>
      </c>
      <c r="AI52" s="94" t="s">
        <v>38</v>
      </c>
      <c r="AJ52" s="147" t="s">
        <v>38</v>
      </c>
      <c r="AK52" s="147" t="s">
        <v>38</v>
      </c>
      <c r="AL52" s="147" t="s">
        <v>38</v>
      </c>
      <c r="AM52" s="147" t="s">
        <v>38</v>
      </c>
      <c r="AN52" s="147" t="s">
        <v>38</v>
      </c>
      <c r="AO52" s="146"/>
      <c r="AP52" s="63"/>
    </row>
    <row r="53" spans="1:42" ht="21.75" customHeight="1" x14ac:dyDescent="0.2">
      <c r="A53" s="342" t="s">
        <v>75</v>
      </c>
      <c r="B53" s="263" t="s">
        <v>27</v>
      </c>
      <c r="C53" s="158" t="s">
        <v>38</v>
      </c>
      <c r="D53" s="158" t="s">
        <v>38</v>
      </c>
      <c r="E53" s="158">
        <v>2</v>
      </c>
      <c r="F53" s="158">
        <v>1</v>
      </c>
      <c r="G53" s="76" t="s">
        <v>38</v>
      </c>
      <c r="H53" s="76" t="s">
        <v>38</v>
      </c>
      <c r="I53" s="76">
        <v>5</v>
      </c>
      <c r="J53" s="77">
        <v>4</v>
      </c>
      <c r="K53" s="299">
        <f t="shared" si="32"/>
        <v>12</v>
      </c>
      <c r="L53" s="79">
        <v>1</v>
      </c>
      <c r="M53" s="124">
        <f t="shared" si="33"/>
        <v>11</v>
      </c>
      <c r="N53" s="98">
        <v>85.555555555555557</v>
      </c>
      <c r="O53" s="98">
        <v>0</v>
      </c>
      <c r="P53" s="82">
        <f t="shared" si="36"/>
        <v>85.555555555555557</v>
      </c>
      <c r="Q53" s="83">
        <f>P53/20</f>
        <v>4.2777777777777777</v>
      </c>
      <c r="R53" s="84">
        <f t="shared" si="19"/>
        <v>89.833333333333329</v>
      </c>
      <c r="S53" s="83">
        <f>R53/20</f>
        <v>4.4916666666666663</v>
      </c>
      <c r="T53" s="103">
        <v>291</v>
      </c>
      <c r="U53" s="85">
        <v>0</v>
      </c>
      <c r="V53" s="136">
        <f t="shared" si="37"/>
        <v>291</v>
      </c>
      <c r="W53" s="78">
        <f t="shared" si="12"/>
        <v>145.5</v>
      </c>
      <c r="X53" s="87">
        <f t="shared" si="21"/>
        <v>8.3142857142857149</v>
      </c>
      <c r="Y53" s="88">
        <f t="shared" si="15"/>
        <v>10.392857142857142</v>
      </c>
      <c r="Z53" s="89">
        <f t="shared" si="34"/>
        <v>-6.7222222222222223</v>
      </c>
      <c r="AA53" s="89">
        <f t="shared" si="35"/>
        <v>-2.6857142857142851</v>
      </c>
      <c r="AB53" s="89">
        <f t="shared" si="28"/>
        <v>-0.60714285714285765</v>
      </c>
      <c r="AC53" s="159">
        <v>5</v>
      </c>
      <c r="AD53" s="160" t="s">
        <v>38</v>
      </c>
      <c r="AE53" s="94" t="s">
        <v>38</v>
      </c>
      <c r="AF53" s="94">
        <v>1</v>
      </c>
      <c r="AG53" s="94">
        <v>1</v>
      </c>
      <c r="AH53" s="94" t="s">
        <v>38</v>
      </c>
      <c r="AI53" s="94" t="s">
        <v>38</v>
      </c>
      <c r="AJ53" s="147" t="s">
        <v>38</v>
      </c>
      <c r="AK53" s="147" t="s">
        <v>38</v>
      </c>
      <c r="AL53" s="147" t="s">
        <v>38</v>
      </c>
      <c r="AM53" s="147" t="s">
        <v>38</v>
      </c>
      <c r="AN53" s="147" t="s">
        <v>38</v>
      </c>
      <c r="AO53" s="146"/>
      <c r="AP53" s="63"/>
    </row>
    <row r="54" spans="1:42" ht="21.75" customHeight="1" x14ac:dyDescent="0.2">
      <c r="A54" s="342"/>
      <c r="B54" s="263" t="s">
        <v>21</v>
      </c>
      <c r="C54" s="158" t="s">
        <v>38</v>
      </c>
      <c r="D54" s="158" t="s">
        <v>38</v>
      </c>
      <c r="E54" s="158">
        <v>1</v>
      </c>
      <c r="F54" s="158" t="s">
        <v>38</v>
      </c>
      <c r="G54" s="76" t="s">
        <v>38</v>
      </c>
      <c r="H54" s="76" t="s">
        <v>38</v>
      </c>
      <c r="I54" s="76">
        <v>4</v>
      </c>
      <c r="J54" s="77">
        <v>1</v>
      </c>
      <c r="K54" s="299">
        <f t="shared" si="32"/>
        <v>6</v>
      </c>
      <c r="L54" s="79">
        <v>0</v>
      </c>
      <c r="M54" s="124">
        <f t="shared" si="33"/>
        <v>6</v>
      </c>
      <c r="N54" s="98">
        <v>124.33333333333333</v>
      </c>
      <c r="O54" s="98">
        <v>0</v>
      </c>
      <c r="P54" s="82">
        <f t="shared" si="36"/>
        <v>124.33333333333333</v>
      </c>
      <c r="Q54" s="83">
        <f>P54/30</f>
        <v>4.1444444444444439</v>
      </c>
      <c r="R54" s="84">
        <f t="shared" si="19"/>
        <v>130.54999999999998</v>
      </c>
      <c r="S54" s="83">
        <f>R54/30</f>
        <v>4.3516666666666657</v>
      </c>
      <c r="T54" s="103">
        <v>140</v>
      </c>
      <c r="U54" s="85">
        <v>0</v>
      </c>
      <c r="V54" s="136">
        <f t="shared" si="37"/>
        <v>140</v>
      </c>
      <c r="W54" s="78">
        <f t="shared" si="12"/>
        <v>70</v>
      </c>
      <c r="X54" s="87">
        <f t="shared" si="21"/>
        <v>4</v>
      </c>
      <c r="Y54" s="88">
        <f t="shared" si="15"/>
        <v>5</v>
      </c>
      <c r="Z54" s="89">
        <f t="shared" si="34"/>
        <v>-1.8555555555555561</v>
      </c>
      <c r="AA54" s="89">
        <f t="shared" si="35"/>
        <v>-2</v>
      </c>
      <c r="AB54" s="89">
        <f t="shared" si="28"/>
        <v>-1</v>
      </c>
      <c r="AC54" s="159">
        <v>5</v>
      </c>
      <c r="AD54" s="91">
        <f>P54/30</f>
        <v>4.1444444444444439</v>
      </c>
      <c r="AE54" s="94" t="s">
        <v>38</v>
      </c>
      <c r="AF54" s="94" t="s">
        <v>38</v>
      </c>
      <c r="AG54" s="94" t="s">
        <v>38</v>
      </c>
      <c r="AH54" s="94" t="s">
        <v>38</v>
      </c>
      <c r="AI54" s="94" t="s">
        <v>38</v>
      </c>
      <c r="AJ54" s="147" t="s">
        <v>38</v>
      </c>
      <c r="AK54" s="147" t="s">
        <v>38</v>
      </c>
      <c r="AL54" s="147" t="s">
        <v>38</v>
      </c>
      <c r="AM54" s="147" t="s">
        <v>38</v>
      </c>
      <c r="AN54" s="147" t="s">
        <v>38</v>
      </c>
      <c r="AO54" s="146"/>
      <c r="AP54" s="63"/>
    </row>
    <row r="55" spans="1:42" ht="21.75" customHeight="1" x14ac:dyDescent="0.2">
      <c r="A55" s="342" t="s">
        <v>76</v>
      </c>
      <c r="B55" s="263" t="s">
        <v>122</v>
      </c>
      <c r="C55" s="158" t="s">
        <v>38</v>
      </c>
      <c r="D55" s="158" t="s">
        <v>38</v>
      </c>
      <c r="E55" s="158">
        <v>1</v>
      </c>
      <c r="F55" s="158" t="s">
        <v>38</v>
      </c>
      <c r="G55" s="76" t="s">
        <v>38</v>
      </c>
      <c r="H55" s="76" t="s">
        <v>38</v>
      </c>
      <c r="I55" s="76" t="s">
        <v>38</v>
      </c>
      <c r="J55" s="77" t="s">
        <v>38</v>
      </c>
      <c r="K55" s="299">
        <f t="shared" si="32"/>
        <v>1</v>
      </c>
      <c r="L55" s="79">
        <v>0</v>
      </c>
      <c r="M55" s="124">
        <f t="shared" si="33"/>
        <v>1</v>
      </c>
      <c r="N55" s="98">
        <v>0</v>
      </c>
      <c r="O55" s="98">
        <f>11.875*2</f>
        <v>23.75</v>
      </c>
      <c r="P55" s="82">
        <f t="shared" si="36"/>
        <v>23.75</v>
      </c>
      <c r="Q55" s="83">
        <f>P55/20</f>
        <v>1.1875</v>
      </c>
      <c r="R55" s="84">
        <f t="shared" si="19"/>
        <v>24.9375</v>
      </c>
      <c r="S55" s="83">
        <f>R55/20</f>
        <v>1.246875</v>
      </c>
      <c r="T55" s="96">
        <v>0</v>
      </c>
      <c r="U55" s="86">
        <v>38</v>
      </c>
      <c r="V55" s="136">
        <f>SUM(U55:U55)</f>
        <v>38</v>
      </c>
      <c r="W55" s="78">
        <f t="shared" si="12"/>
        <v>19</v>
      </c>
      <c r="X55" s="87">
        <f t="shared" si="21"/>
        <v>1.0857142857142856</v>
      </c>
      <c r="Y55" s="88">
        <f t="shared" si="15"/>
        <v>1.3571428571428572</v>
      </c>
      <c r="Z55" s="89">
        <f t="shared" si="34"/>
        <v>0.1875</v>
      </c>
      <c r="AA55" s="89">
        <f t="shared" si="35"/>
        <v>8.5714285714285632E-2</v>
      </c>
      <c r="AB55" s="89">
        <f t="shared" si="28"/>
        <v>0.35714285714285721</v>
      </c>
      <c r="AC55" s="159">
        <v>3</v>
      </c>
      <c r="AD55" s="160" t="s">
        <v>38</v>
      </c>
      <c r="AE55" s="94" t="s">
        <v>38</v>
      </c>
      <c r="AF55" s="94" t="s">
        <v>38</v>
      </c>
      <c r="AG55" s="94" t="s">
        <v>38</v>
      </c>
      <c r="AH55" s="94">
        <v>1</v>
      </c>
      <c r="AI55" s="94" t="s">
        <v>38</v>
      </c>
      <c r="AJ55" s="147" t="s">
        <v>38</v>
      </c>
      <c r="AK55" s="147" t="s">
        <v>38</v>
      </c>
      <c r="AL55" s="147" t="s">
        <v>38</v>
      </c>
      <c r="AM55" s="147" t="s">
        <v>38</v>
      </c>
      <c r="AN55" s="147" t="s">
        <v>38</v>
      </c>
      <c r="AO55" s="146"/>
      <c r="AP55" s="63"/>
    </row>
    <row r="56" spans="1:42" ht="21.75" customHeight="1" x14ac:dyDescent="0.2">
      <c r="A56" s="342"/>
      <c r="B56" s="263" t="s">
        <v>115</v>
      </c>
      <c r="C56" s="158" t="s">
        <v>38</v>
      </c>
      <c r="D56" s="158" t="s">
        <v>38</v>
      </c>
      <c r="E56" s="158" t="s">
        <v>38</v>
      </c>
      <c r="F56" s="158" t="s">
        <v>38</v>
      </c>
      <c r="G56" s="76" t="s">
        <v>38</v>
      </c>
      <c r="H56" s="76" t="s">
        <v>38</v>
      </c>
      <c r="I56" s="76">
        <v>2</v>
      </c>
      <c r="J56" s="77">
        <v>3</v>
      </c>
      <c r="K56" s="299">
        <f t="shared" si="32"/>
        <v>5</v>
      </c>
      <c r="L56" s="79">
        <v>0</v>
      </c>
      <c r="M56" s="124">
        <f t="shared" si="33"/>
        <v>5</v>
      </c>
      <c r="N56" s="98">
        <v>30.805555555555557</v>
      </c>
      <c r="O56" s="98">
        <v>0</v>
      </c>
      <c r="P56" s="82">
        <f t="shared" si="36"/>
        <v>30.805555555555557</v>
      </c>
      <c r="Q56" s="83">
        <f>P56/20</f>
        <v>1.5402777777777779</v>
      </c>
      <c r="R56" s="84">
        <f t="shared" si="19"/>
        <v>32.345833333333331</v>
      </c>
      <c r="S56" s="83">
        <f>R56/20</f>
        <v>1.6172916666666666</v>
      </c>
      <c r="T56" s="103">
        <f>107+88</f>
        <v>195</v>
      </c>
      <c r="U56" s="85">
        <v>0</v>
      </c>
      <c r="V56" s="136">
        <f>SUM(T56:U56)</f>
        <v>195</v>
      </c>
      <c r="W56" s="78">
        <f t="shared" si="12"/>
        <v>97.5</v>
      </c>
      <c r="X56" s="87">
        <f t="shared" si="21"/>
        <v>5.5714285714285712</v>
      </c>
      <c r="Y56" s="88">
        <f t="shared" si="15"/>
        <v>6.9642857142857144</v>
      </c>
      <c r="Z56" s="89">
        <f t="shared" si="34"/>
        <v>-3.4597222222222221</v>
      </c>
      <c r="AA56" s="89">
        <f t="shared" si="35"/>
        <v>0.57142857142857117</v>
      </c>
      <c r="AB56" s="89">
        <f t="shared" si="28"/>
        <v>1.9642857142857144</v>
      </c>
      <c r="AC56" s="145">
        <v>5</v>
      </c>
      <c r="AD56" s="128" t="s">
        <v>38</v>
      </c>
      <c r="AE56" s="94" t="s">
        <v>38</v>
      </c>
      <c r="AF56" s="94" t="s">
        <v>38</v>
      </c>
      <c r="AG56" s="94" t="s">
        <v>38</v>
      </c>
      <c r="AH56" s="94" t="s">
        <v>38</v>
      </c>
      <c r="AI56" s="94" t="s">
        <v>38</v>
      </c>
      <c r="AJ56" s="147" t="s">
        <v>38</v>
      </c>
      <c r="AK56" s="147" t="s">
        <v>38</v>
      </c>
      <c r="AL56" s="147" t="s">
        <v>38</v>
      </c>
      <c r="AM56" s="147" t="s">
        <v>38</v>
      </c>
      <c r="AN56" s="147" t="s">
        <v>38</v>
      </c>
      <c r="AO56" s="146"/>
      <c r="AP56" s="63"/>
    </row>
    <row r="57" spans="1:42" ht="21.75" customHeight="1" x14ac:dyDescent="0.2">
      <c r="A57" s="342"/>
      <c r="B57" s="263" t="s">
        <v>121</v>
      </c>
      <c r="C57" s="158" t="s">
        <v>38</v>
      </c>
      <c r="D57" s="158" t="s">
        <v>38</v>
      </c>
      <c r="E57" s="158">
        <v>1</v>
      </c>
      <c r="F57" s="158" t="s">
        <v>38</v>
      </c>
      <c r="G57" s="76" t="s">
        <v>38</v>
      </c>
      <c r="H57" s="76" t="s">
        <v>38</v>
      </c>
      <c r="I57" s="76" t="s">
        <v>38</v>
      </c>
      <c r="J57" s="76" t="s">
        <v>38</v>
      </c>
      <c r="K57" s="299">
        <f t="shared" si="32"/>
        <v>1</v>
      </c>
      <c r="L57" s="79">
        <v>0</v>
      </c>
      <c r="M57" s="124">
        <f t="shared" si="33"/>
        <v>1</v>
      </c>
      <c r="N57" s="98">
        <v>140.86000000000001</v>
      </c>
      <c r="O57" s="98">
        <v>0</v>
      </c>
      <c r="P57" s="82">
        <f t="shared" si="36"/>
        <v>140.86000000000001</v>
      </c>
      <c r="Q57" s="83">
        <f>P57/30</f>
        <v>4.695333333333334</v>
      </c>
      <c r="R57" s="84">
        <f t="shared" si="19"/>
        <v>147.90300000000002</v>
      </c>
      <c r="S57" s="83">
        <f>R57/20</f>
        <v>7.395150000000001</v>
      </c>
      <c r="T57" s="103">
        <f>107+9</f>
        <v>116</v>
      </c>
      <c r="U57" s="85">
        <v>0</v>
      </c>
      <c r="V57" s="136">
        <f>SUM(T57:U57)</f>
        <v>116</v>
      </c>
      <c r="W57" s="78">
        <f t="shared" si="12"/>
        <v>58</v>
      </c>
      <c r="X57" s="87">
        <f t="shared" si="21"/>
        <v>3.3142857142857145</v>
      </c>
      <c r="Y57" s="88">
        <f t="shared" si="15"/>
        <v>4.1428571428571432</v>
      </c>
      <c r="Z57" s="89">
        <f t="shared" si="34"/>
        <v>3.695333333333334</v>
      </c>
      <c r="AA57" s="89">
        <f t="shared" si="35"/>
        <v>2.3142857142857145</v>
      </c>
      <c r="AB57" s="89">
        <f t="shared" si="28"/>
        <v>3.1428571428571432</v>
      </c>
      <c r="AC57" s="145">
        <v>5</v>
      </c>
      <c r="AD57" s="91">
        <f>P57/30</f>
        <v>4.695333333333334</v>
      </c>
      <c r="AE57" s="94" t="s">
        <v>38</v>
      </c>
      <c r="AF57" s="94" t="s">
        <v>38</v>
      </c>
      <c r="AG57" s="94" t="s">
        <v>38</v>
      </c>
      <c r="AH57" s="94" t="s">
        <v>38</v>
      </c>
      <c r="AI57" s="94" t="s">
        <v>38</v>
      </c>
      <c r="AJ57" s="147" t="s">
        <v>38</v>
      </c>
      <c r="AK57" s="147" t="s">
        <v>38</v>
      </c>
      <c r="AL57" s="147" t="s">
        <v>38</v>
      </c>
      <c r="AM57" s="147" t="s">
        <v>38</v>
      </c>
      <c r="AN57" s="147" t="s">
        <v>38</v>
      </c>
      <c r="AO57" s="146"/>
      <c r="AP57" s="63"/>
    </row>
    <row r="58" spans="1:42" ht="21.75" customHeight="1" x14ac:dyDescent="0.2">
      <c r="A58" s="342"/>
      <c r="B58" s="263" t="s">
        <v>116</v>
      </c>
      <c r="C58" s="158" t="s">
        <v>38</v>
      </c>
      <c r="D58" s="158">
        <v>1</v>
      </c>
      <c r="E58" s="158">
        <v>1</v>
      </c>
      <c r="F58" s="158" t="s">
        <v>38</v>
      </c>
      <c r="G58" s="76" t="s">
        <v>38</v>
      </c>
      <c r="H58" s="76">
        <v>1</v>
      </c>
      <c r="I58" s="76">
        <v>3</v>
      </c>
      <c r="J58" s="77">
        <v>1</v>
      </c>
      <c r="K58" s="299">
        <f t="shared" si="32"/>
        <v>7</v>
      </c>
      <c r="L58" s="79">
        <v>1</v>
      </c>
      <c r="M58" s="124">
        <f t="shared" si="33"/>
        <v>6</v>
      </c>
      <c r="N58" s="98">
        <v>131.55555555555554</v>
      </c>
      <c r="O58" s="98">
        <v>0</v>
      </c>
      <c r="P58" s="82">
        <f t="shared" si="36"/>
        <v>131.55555555555554</v>
      </c>
      <c r="Q58" s="83">
        <f>P58/30</f>
        <v>4.3851851851851844</v>
      </c>
      <c r="R58" s="84">
        <f t="shared" si="19"/>
        <v>138.13333333333333</v>
      </c>
      <c r="S58" s="83">
        <f>R58/30</f>
        <v>4.6044444444444439</v>
      </c>
      <c r="T58" s="103">
        <v>108</v>
      </c>
      <c r="U58" s="85">
        <v>0</v>
      </c>
      <c r="V58" s="136">
        <f>SUM(T58:U58)</f>
        <v>108</v>
      </c>
      <c r="W58" s="78">
        <f t="shared" si="12"/>
        <v>54</v>
      </c>
      <c r="X58" s="87">
        <f t="shared" si="21"/>
        <v>3.0857142857142859</v>
      </c>
      <c r="Y58" s="88">
        <f t="shared" si="15"/>
        <v>3.8571428571428572</v>
      </c>
      <c r="Z58" s="89">
        <f t="shared" si="34"/>
        <v>-1.6148148148148156</v>
      </c>
      <c r="AA58" s="89">
        <f t="shared" si="35"/>
        <v>-2.9142857142857141</v>
      </c>
      <c r="AB58" s="89">
        <f t="shared" si="28"/>
        <v>-2.1428571428571428</v>
      </c>
      <c r="AC58" s="145">
        <v>5</v>
      </c>
      <c r="AD58" s="91">
        <f>P58/30</f>
        <v>4.3851851851851844</v>
      </c>
      <c r="AE58" s="94" t="s">
        <v>38</v>
      </c>
      <c r="AF58" s="94" t="s">
        <v>38</v>
      </c>
      <c r="AG58" s="94" t="s">
        <v>38</v>
      </c>
      <c r="AH58" s="94">
        <v>2</v>
      </c>
      <c r="AI58" s="94" t="s">
        <v>38</v>
      </c>
      <c r="AJ58" s="147" t="s">
        <v>38</v>
      </c>
      <c r="AK58" s="147" t="s">
        <v>38</v>
      </c>
      <c r="AL58" s="147" t="s">
        <v>38</v>
      </c>
      <c r="AM58" s="147" t="s">
        <v>38</v>
      </c>
      <c r="AN58" s="147" t="s">
        <v>38</v>
      </c>
      <c r="AO58" s="94"/>
      <c r="AP58" s="63"/>
    </row>
    <row r="59" spans="1:42" ht="21.75" customHeight="1" x14ac:dyDescent="0.2">
      <c r="A59" s="162" t="s">
        <v>77</v>
      </c>
      <c r="B59" s="263" t="s">
        <v>27</v>
      </c>
      <c r="C59" s="158" t="s">
        <v>38</v>
      </c>
      <c r="D59" s="158">
        <v>1</v>
      </c>
      <c r="E59" s="158" t="s">
        <v>38</v>
      </c>
      <c r="F59" s="158" t="s">
        <v>38</v>
      </c>
      <c r="G59" s="76" t="s">
        <v>38</v>
      </c>
      <c r="H59" s="76">
        <v>1</v>
      </c>
      <c r="I59" s="76" t="s">
        <v>38</v>
      </c>
      <c r="J59" s="77">
        <v>3</v>
      </c>
      <c r="K59" s="299">
        <f t="shared" si="32"/>
        <v>5</v>
      </c>
      <c r="L59" s="79">
        <v>0</v>
      </c>
      <c r="M59" s="124">
        <f t="shared" si="33"/>
        <v>5</v>
      </c>
      <c r="N59" s="98">
        <v>163.91666666666666</v>
      </c>
      <c r="O59" s="98">
        <v>0</v>
      </c>
      <c r="P59" s="82">
        <f t="shared" si="36"/>
        <v>163.91666666666666</v>
      </c>
      <c r="Q59" s="83">
        <f t="shared" ref="Q59:Q69" si="38">P59/20</f>
        <v>8.1958333333333329</v>
      </c>
      <c r="R59" s="84">
        <f t="shared" si="19"/>
        <v>172.11249999999998</v>
      </c>
      <c r="S59" s="83">
        <f t="shared" ref="S59:S69" si="39">R59/20</f>
        <v>8.6056249999999999</v>
      </c>
      <c r="T59" s="103">
        <v>117</v>
      </c>
      <c r="U59" s="85">
        <v>0</v>
      </c>
      <c r="V59" s="136">
        <f>SUM(T59:U59)</f>
        <v>117</v>
      </c>
      <c r="W59" s="78">
        <f t="shared" si="12"/>
        <v>58.5</v>
      </c>
      <c r="X59" s="87">
        <f t="shared" si="21"/>
        <v>3.342857142857143</v>
      </c>
      <c r="Y59" s="88">
        <f t="shared" si="15"/>
        <v>4.1785714285714288</v>
      </c>
      <c r="Z59" s="89">
        <f t="shared" si="34"/>
        <v>3.1958333333333329</v>
      </c>
      <c r="AA59" s="89">
        <f t="shared" si="35"/>
        <v>-1.657142857142857</v>
      </c>
      <c r="AB59" s="89">
        <f t="shared" si="28"/>
        <v>-0.82142857142857117</v>
      </c>
      <c r="AC59" s="145">
        <v>5</v>
      </c>
      <c r="AD59" s="128" t="s">
        <v>38</v>
      </c>
      <c r="AE59" s="94" t="s">
        <v>38</v>
      </c>
      <c r="AF59" s="94" t="s">
        <v>38</v>
      </c>
      <c r="AG59" s="94" t="s">
        <v>38</v>
      </c>
      <c r="AH59" s="94" t="s">
        <v>38</v>
      </c>
      <c r="AI59" s="94" t="s">
        <v>38</v>
      </c>
      <c r="AJ59" s="147" t="s">
        <v>38</v>
      </c>
      <c r="AK59" s="147" t="s">
        <v>38</v>
      </c>
      <c r="AL59" s="147" t="s">
        <v>38</v>
      </c>
      <c r="AM59" s="147" t="s">
        <v>38</v>
      </c>
      <c r="AN59" s="147" t="s">
        <v>38</v>
      </c>
      <c r="AO59" s="146"/>
      <c r="AP59" s="63"/>
    </row>
    <row r="60" spans="1:42" ht="21.75" customHeight="1" x14ac:dyDescent="0.2">
      <c r="A60" s="308" t="s">
        <v>78</v>
      </c>
      <c r="B60" s="263" t="s">
        <v>182</v>
      </c>
      <c r="C60" s="158" t="s">
        <v>38</v>
      </c>
      <c r="D60" s="158" t="s">
        <v>38</v>
      </c>
      <c r="E60" s="158">
        <v>2</v>
      </c>
      <c r="F60" s="158" t="s">
        <v>38</v>
      </c>
      <c r="G60" s="76" t="s">
        <v>38</v>
      </c>
      <c r="H60" s="76" t="s">
        <v>38</v>
      </c>
      <c r="I60" s="76">
        <v>1</v>
      </c>
      <c r="J60" s="77" t="s">
        <v>38</v>
      </c>
      <c r="K60" s="299">
        <f t="shared" si="32"/>
        <v>3</v>
      </c>
      <c r="L60" s="79">
        <v>0</v>
      </c>
      <c r="M60" s="124">
        <f t="shared" si="33"/>
        <v>3</v>
      </c>
      <c r="N60" s="98">
        <v>0</v>
      </c>
      <c r="O60" s="98">
        <v>3.458333333333333</v>
      </c>
      <c r="P60" s="82">
        <f t="shared" si="36"/>
        <v>3.458333333333333</v>
      </c>
      <c r="Q60" s="83">
        <f t="shared" si="38"/>
        <v>0.17291666666666666</v>
      </c>
      <c r="R60" s="84">
        <f t="shared" si="19"/>
        <v>3.6312499999999996</v>
      </c>
      <c r="S60" s="83">
        <f t="shared" si="39"/>
        <v>0.18156249999999999</v>
      </c>
      <c r="T60" s="96">
        <v>0</v>
      </c>
      <c r="U60" s="85">
        <f>20+28</f>
        <v>48</v>
      </c>
      <c r="V60" s="136">
        <f>SUM(U60:U60)</f>
        <v>48</v>
      </c>
      <c r="W60" s="78">
        <f t="shared" si="12"/>
        <v>24</v>
      </c>
      <c r="X60" s="87">
        <f t="shared" si="21"/>
        <v>1.3714285714285714</v>
      </c>
      <c r="Y60" s="88">
        <f t="shared" si="15"/>
        <v>1.7142857142857142</v>
      </c>
      <c r="Z60" s="100">
        <f t="shared" si="34"/>
        <v>-2.8270833333333334</v>
      </c>
      <c r="AA60" s="100">
        <f t="shared" si="35"/>
        <v>-1.6285714285714286</v>
      </c>
      <c r="AB60" s="100">
        <f t="shared" si="28"/>
        <v>-1.2857142857142858</v>
      </c>
      <c r="AC60" s="145">
        <v>3</v>
      </c>
      <c r="AD60" s="128" t="s">
        <v>38</v>
      </c>
      <c r="AE60" s="94" t="s">
        <v>38</v>
      </c>
      <c r="AF60" s="94" t="s">
        <v>38</v>
      </c>
      <c r="AG60" s="94" t="s">
        <v>38</v>
      </c>
      <c r="AH60" s="94" t="s">
        <v>38</v>
      </c>
      <c r="AI60" s="94" t="s">
        <v>38</v>
      </c>
      <c r="AJ60" s="147" t="s">
        <v>38</v>
      </c>
      <c r="AK60" s="147" t="s">
        <v>38</v>
      </c>
      <c r="AL60" s="147" t="s">
        <v>38</v>
      </c>
      <c r="AM60" s="147" t="s">
        <v>38</v>
      </c>
      <c r="AN60" s="147" t="s">
        <v>38</v>
      </c>
      <c r="AO60" s="146"/>
      <c r="AP60" s="63"/>
    </row>
    <row r="61" spans="1:42" ht="21.75" customHeight="1" x14ac:dyDescent="0.2">
      <c r="A61" s="308"/>
      <c r="B61" s="263" t="s">
        <v>117</v>
      </c>
      <c r="C61" s="158" t="s">
        <v>38</v>
      </c>
      <c r="D61" s="158" t="s">
        <v>38</v>
      </c>
      <c r="E61" s="158" t="s">
        <v>38</v>
      </c>
      <c r="F61" s="158">
        <v>2</v>
      </c>
      <c r="G61" s="76" t="s">
        <v>38</v>
      </c>
      <c r="H61" s="76" t="s">
        <v>38</v>
      </c>
      <c r="I61" s="76">
        <v>1</v>
      </c>
      <c r="J61" s="77">
        <v>4</v>
      </c>
      <c r="K61" s="299">
        <f t="shared" ref="K61:K72" si="40">SUM(D61:J61)</f>
        <v>7</v>
      </c>
      <c r="L61" s="79">
        <v>1</v>
      </c>
      <c r="M61" s="124">
        <f t="shared" si="33"/>
        <v>6</v>
      </c>
      <c r="N61" s="98">
        <v>85.555555555555557</v>
      </c>
      <c r="O61" s="98">
        <v>0</v>
      </c>
      <c r="P61" s="82">
        <f t="shared" si="36"/>
        <v>85.555555555555557</v>
      </c>
      <c r="Q61" s="83">
        <f t="shared" si="38"/>
        <v>4.2777777777777777</v>
      </c>
      <c r="R61" s="84">
        <f t="shared" si="19"/>
        <v>89.833333333333329</v>
      </c>
      <c r="S61" s="83">
        <f t="shared" si="39"/>
        <v>4.4916666666666663</v>
      </c>
      <c r="T61" s="103">
        <f>278+92</f>
        <v>370</v>
      </c>
      <c r="U61" s="85">
        <v>0</v>
      </c>
      <c r="V61" s="136">
        <f t="shared" ref="V61:V89" si="41">SUM(T61:U61)</f>
        <v>370</v>
      </c>
      <c r="W61" s="78">
        <f t="shared" si="12"/>
        <v>185</v>
      </c>
      <c r="X61" s="87">
        <f t="shared" si="21"/>
        <v>10.571428571428571</v>
      </c>
      <c r="Y61" s="88">
        <f t="shared" si="15"/>
        <v>13.214285714285714</v>
      </c>
      <c r="Z61" s="89">
        <f t="shared" si="34"/>
        <v>-1.7222222222222223</v>
      </c>
      <c r="AA61" s="89">
        <f t="shared" si="35"/>
        <v>4.5714285714285712</v>
      </c>
      <c r="AB61" s="89">
        <f t="shared" si="28"/>
        <v>7.2142857142857135</v>
      </c>
      <c r="AC61" s="145">
        <v>5</v>
      </c>
      <c r="AD61" s="128" t="s">
        <v>38</v>
      </c>
      <c r="AE61" s="94" t="s">
        <v>38</v>
      </c>
      <c r="AF61" s="94" t="s">
        <v>38</v>
      </c>
      <c r="AG61" s="94" t="s">
        <v>38</v>
      </c>
      <c r="AH61" s="94" t="s">
        <v>38</v>
      </c>
      <c r="AI61" s="94" t="s">
        <v>38</v>
      </c>
      <c r="AJ61" s="147" t="s">
        <v>38</v>
      </c>
      <c r="AK61" s="147" t="s">
        <v>38</v>
      </c>
      <c r="AL61" s="147" t="s">
        <v>38</v>
      </c>
      <c r="AM61" s="147" t="s">
        <v>38</v>
      </c>
      <c r="AN61" s="147" t="s">
        <v>38</v>
      </c>
      <c r="AO61" s="94"/>
      <c r="AP61" s="63"/>
    </row>
    <row r="62" spans="1:42" ht="21.75" customHeight="1" x14ac:dyDescent="0.2">
      <c r="A62" s="308"/>
      <c r="B62" s="263" t="s">
        <v>42</v>
      </c>
      <c r="C62" s="158" t="s">
        <v>38</v>
      </c>
      <c r="D62" s="158" t="s">
        <v>38</v>
      </c>
      <c r="E62" s="158" t="s">
        <v>38</v>
      </c>
      <c r="F62" s="158" t="s">
        <v>38</v>
      </c>
      <c r="G62" s="76" t="s">
        <v>38</v>
      </c>
      <c r="H62" s="76" t="s">
        <v>38</v>
      </c>
      <c r="I62" s="76">
        <v>3</v>
      </c>
      <c r="J62" s="77">
        <v>3</v>
      </c>
      <c r="K62" s="299">
        <f t="shared" si="40"/>
        <v>6</v>
      </c>
      <c r="L62" s="79">
        <v>0</v>
      </c>
      <c r="M62" s="124">
        <f t="shared" si="33"/>
        <v>6</v>
      </c>
      <c r="N62" s="98">
        <v>25.361111111111111</v>
      </c>
      <c r="O62" s="98">
        <v>0</v>
      </c>
      <c r="P62" s="82">
        <f t="shared" si="36"/>
        <v>25.361111111111111</v>
      </c>
      <c r="Q62" s="83">
        <f t="shared" si="38"/>
        <v>1.2680555555555555</v>
      </c>
      <c r="R62" s="84">
        <f t="shared" si="19"/>
        <v>26.629166666666666</v>
      </c>
      <c r="S62" s="83">
        <f t="shared" si="39"/>
        <v>1.3314583333333334</v>
      </c>
      <c r="T62" s="103">
        <v>182</v>
      </c>
      <c r="U62" s="85">
        <v>0</v>
      </c>
      <c r="V62" s="136">
        <f t="shared" si="41"/>
        <v>182</v>
      </c>
      <c r="W62" s="78">
        <f t="shared" si="12"/>
        <v>91</v>
      </c>
      <c r="X62" s="87">
        <f t="shared" si="21"/>
        <v>5.2</v>
      </c>
      <c r="Y62" s="88">
        <f t="shared" si="15"/>
        <v>6.5</v>
      </c>
      <c r="Z62" s="89">
        <f t="shared" si="34"/>
        <v>-4.7319444444444443</v>
      </c>
      <c r="AA62" s="89">
        <f t="shared" si="35"/>
        <v>-0.79999999999999982</v>
      </c>
      <c r="AB62" s="89">
        <f t="shared" si="28"/>
        <v>0.5</v>
      </c>
      <c r="AC62" s="145">
        <v>5</v>
      </c>
      <c r="AD62" s="128" t="s">
        <v>38</v>
      </c>
      <c r="AE62" s="94" t="s">
        <v>38</v>
      </c>
      <c r="AF62" s="94" t="s">
        <v>38</v>
      </c>
      <c r="AG62" s="94" t="s">
        <v>38</v>
      </c>
      <c r="AH62" s="94" t="s">
        <v>38</v>
      </c>
      <c r="AI62" s="94" t="s">
        <v>38</v>
      </c>
      <c r="AJ62" s="147" t="s">
        <v>38</v>
      </c>
      <c r="AK62" s="147" t="s">
        <v>38</v>
      </c>
      <c r="AL62" s="147" t="s">
        <v>38</v>
      </c>
      <c r="AM62" s="147" t="s">
        <v>38</v>
      </c>
      <c r="AN62" s="147" t="s">
        <v>38</v>
      </c>
      <c r="AO62" s="146"/>
      <c r="AP62" s="63"/>
    </row>
    <row r="63" spans="1:42" ht="21.75" customHeight="1" x14ac:dyDescent="0.2">
      <c r="A63" s="308"/>
      <c r="B63" s="263" t="s">
        <v>43</v>
      </c>
      <c r="C63" s="158" t="s">
        <v>38</v>
      </c>
      <c r="D63" s="158" t="s">
        <v>38</v>
      </c>
      <c r="E63" s="158" t="s">
        <v>38</v>
      </c>
      <c r="F63" s="158">
        <v>2</v>
      </c>
      <c r="G63" s="76" t="s">
        <v>38</v>
      </c>
      <c r="H63" s="76" t="s">
        <v>38</v>
      </c>
      <c r="I63" s="76">
        <v>2</v>
      </c>
      <c r="J63" s="77">
        <v>1</v>
      </c>
      <c r="K63" s="299">
        <f>SUM(D63:J63)</f>
        <v>5</v>
      </c>
      <c r="L63" s="79">
        <v>0</v>
      </c>
      <c r="M63" s="124">
        <f>K63-L63</f>
        <v>5</v>
      </c>
      <c r="N63" s="98">
        <v>159.30555555555557</v>
      </c>
      <c r="O63" s="98">
        <v>0</v>
      </c>
      <c r="P63" s="82">
        <f>SUM(N63:O63)</f>
        <v>159.30555555555557</v>
      </c>
      <c r="Q63" s="83">
        <f>P63/20</f>
        <v>7.9652777777777786</v>
      </c>
      <c r="R63" s="84">
        <f>(P63*0.05)+P63</f>
        <v>167.27083333333334</v>
      </c>
      <c r="S63" s="83">
        <f>R63/20</f>
        <v>8.3635416666666664</v>
      </c>
      <c r="T63" s="103">
        <f>194+226</f>
        <v>420</v>
      </c>
      <c r="U63" s="85">
        <v>0</v>
      </c>
      <c r="V63" s="136">
        <f>SUM(T63:U63)</f>
        <v>420</v>
      </c>
      <c r="W63" s="78">
        <f>V63/2</f>
        <v>210</v>
      </c>
      <c r="X63" s="87">
        <f>V63/35</f>
        <v>12</v>
      </c>
      <c r="Y63" s="88">
        <f>W63/14</f>
        <v>15</v>
      </c>
      <c r="Z63" s="89">
        <f>Q63-M63</f>
        <v>2.9652777777777786</v>
      </c>
      <c r="AA63" s="89">
        <f>X63-M63</f>
        <v>7</v>
      </c>
      <c r="AB63" s="89">
        <f>Y63-M63</f>
        <v>10</v>
      </c>
      <c r="AC63" s="145">
        <v>5</v>
      </c>
      <c r="AD63" s="128" t="s">
        <v>38</v>
      </c>
      <c r="AE63" s="94" t="s">
        <v>38</v>
      </c>
      <c r="AF63" s="94" t="s">
        <v>38</v>
      </c>
      <c r="AG63" s="94" t="s">
        <v>38</v>
      </c>
      <c r="AH63" s="94" t="s">
        <v>38</v>
      </c>
      <c r="AI63" s="94" t="s">
        <v>38</v>
      </c>
      <c r="AJ63" s="147" t="s">
        <v>38</v>
      </c>
      <c r="AK63" s="147" t="s">
        <v>38</v>
      </c>
      <c r="AL63" s="147" t="s">
        <v>38</v>
      </c>
      <c r="AM63" s="147" t="s">
        <v>38</v>
      </c>
      <c r="AN63" s="147" t="s">
        <v>38</v>
      </c>
      <c r="AO63" s="146"/>
      <c r="AP63" s="63"/>
    </row>
    <row r="64" spans="1:42" ht="21.75" customHeight="1" x14ac:dyDescent="0.2">
      <c r="A64" s="322" t="s">
        <v>267</v>
      </c>
      <c r="B64" s="266" t="s">
        <v>275</v>
      </c>
      <c r="C64" s="158" t="s">
        <v>38</v>
      </c>
      <c r="D64" s="158" t="s">
        <v>38</v>
      </c>
      <c r="E64" s="158" t="s">
        <v>38</v>
      </c>
      <c r="F64" s="158">
        <v>2</v>
      </c>
      <c r="G64" s="76" t="s">
        <v>38</v>
      </c>
      <c r="H64" s="76" t="s">
        <v>38</v>
      </c>
      <c r="I64" s="76">
        <v>1</v>
      </c>
      <c r="J64" s="77">
        <v>2</v>
      </c>
      <c r="K64" s="299">
        <f>SUM(D64:J64)</f>
        <v>5</v>
      </c>
      <c r="L64" s="164" t="s">
        <v>38</v>
      </c>
      <c r="M64" s="80">
        <v>5</v>
      </c>
      <c r="N64" s="166" t="s">
        <v>38</v>
      </c>
      <c r="O64" s="166" t="s">
        <v>38</v>
      </c>
      <c r="P64" s="167" t="s">
        <v>38</v>
      </c>
      <c r="Q64" s="168" t="s">
        <v>38</v>
      </c>
      <c r="R64" s="169" t="s">
        <v>38</v>
      </c>
      <c r="S64" s="168" t="s">
        <v>38</v>
      </c>
      <c r="T64" s="170" t="s">
        <v>38</v>
      </c>
      <c r="U64" s="96" t="s">
        <v>38</v>
      </c>
      <c r="V64" s="171" t="s">
        <v>38</v>
      </c>
      <c r="W64" s="96" t="s">
        <v>38</v>
      </c>
      <c r="X64" s="172" t="s">
        <v>38</v>
      </c>
      <c r="Y64" s="173" t="s">
        <v>38</v>
      </c>
      <c r="Z64" s="174" t="s">
        <v>38</v>
      </c>
      <c r="AA64" s="174" t="s">
        <v>38</v>
      </c>
      <c r="AB64" s="174" t="s">
        <v>38</v>
      </c>
      <c r="AC64" s="145">
        <v>5</v>
      </c>
      <c r="AD64" s="128" t="s">
        <v>38</v>
      </c>
      <c r="AE64" s="94" t="s">
        <v>38</v>
      </c>
      <c r="AF64" s="94" t="s">
        <v>38</v>
      </c>
      <c r="AG64" s="94" t="s">
        <v>38</v>
      </c>
      <c r="AH64" s="94" t="s">
        <v>38</v>
      </c>
      <c r="AI64" s="94" t="s">
        <v>38</v>
      </c>
      <c r="AJ64" s="147" t="s">
        <v>38</v>
      </c>
      <c r="AK64" s="147" t="s">
        <v>38</v>
      </c>
      <c r="AL64" s="147" t="s">
        <v>38</v>
      </c>
      <c r="AM64" s="147" t="s">
        <v>38</v>
      </c>
      <c r="AN64" s="147" t="s">
        <v>38</v>
      </c>
      <c r="AO64" s="146"/>
      <c r="AP64" s="63"/>
    </row>
    <row r="65" spans="1:42" ht="21.75" customHeight="1" x14ac:dyDescent="0.2">
      <c r="A65" s="343" t="s">
        <v>269</v>
      </c>
      <c r="B65" s="263" t="s">
        <v>118</v>
      </c>
      <c r="C65" s="158" t="s">
        <v>38</v>
      </c>
      <c r="D65" s="158" t="s">
        <v>38</v>
      </c>
      <c r="E65" s="158" t="s">
        <v>38</v>
      </c>
      <c r="F65" s="158" t="s">
        <v>38</v>
      </c>
      <c r="G65" s="76" t="s">
        <v>38</v>
      </c>
      <c r="H65" s="76" t="s">
        <v>38</v>
      </c>
      <c r="I65" s="76">
        <v>3</v>
      </c>
      <c r="J65" s="77" t="s">
        <v>38</v>
      </c>
      <c r="K65" s="299">
        <f t="shared" si="40"/>
        <v>3</v>
      </c>
      <c r="L65" s="79">
        <v>0</v>
      </c>
      <c r="M65" s="80">
        <f t="shared" si="33"/>
        <v>3</v>
      </c>
      <c r="N65" s="98">
        <v>4.25</v>
      </c>
      <c r="O65" s="98">
        <v>0</v>
      </c>
      <c r="P65" s="82">
        <f t="shared" si="36"/>
        <v>4.25</v>
      </c>
      <c r="Q65" s="83">
        <f t="shared" si="38"/>
        <v>0.21249999999999999</v>
      </c>
      <c r="R65" s="84">
        <f t="shared" si="19"/>
        <v>4.4625000000000004</v>
      </c>
      <c r="S65" s="83">
        <f t="shared" si="39"/>
        <v>0.22312500000000002</v>
      </c>
      <c r="T65" s="85">
        <v>0</v>
      </c>
      <c r="U65" s="86">
        <v>20</v>
      </c>
      <c r="V65" s="136">
        <f t="shared" si="41"/>
        <v>20</v>
      </c>
      <c r="W65" s="78">
        <f t="shared" si="12"/>
        <v>10</v>
      </c>
      <c r="X65" s="87">
        <f t="shared" si="21"/>
        <v>0.5714285714285714</v>
      </c>
      <c r="Y65" s="88">
        <f t="shared" si="15"/>
        <v>0.7142857142857143</v>
      </c>
      <c r="Z65" s="89">
        <f t="shared" si="34"/>
        <v>-2.7875000000000001</v>
      </c>
      <c r="AA65" s="89">
        <f t="shared" si="35"/>
        <v>-2.4285714285714288</v>
      </c>
      <c r="AB65" s="89">
        <f t="shared" si="28"/>
        <v>-2.2857142857142856</v>
      </c>
      <c r="AC65" s="145">
        <v>3</v>
      </c>
      <c r="AD65" s="128" t="s">
        <v>38</v>
      </c>
      <c r="AE65" s="94" t="s">
        <v>38</v>
      </c>
      <c r="AF65" s="94" t="s">
        <v>38</v>
      </c>
      <c r="AG65" s="94" t="s">
        <v>38</v>
      </c>
      <c r="AH65" s="94" t="s">
        <v>38</v>
      </c>
      <c r="AI65" s="94" t="s">
        <v>38</v>
      </c>
      <c r="AJ65" s="147" t="s">
        <v>38</v>
      </c>
      <c r="AK65" s="147" t="s">
        <v>38</v>
      </c>
      <c r="AL65" s="147" t="s">
        <v>38</v>
      </c>
      <c r="AM65" s="147" t="s">
        <v>38</v>
      </c>
      <c r="AN65" s="147" t="s">
        <v>38</v>
      </c>
      <c r="AO65" s="146"/>
      <c r="AP65" s="63"/>
    </row>
    <row r="66" spans="1:42" ht="21.75" customHeight="1" x14ac:dyDescent="0.2">
      <c r="A66" s="343"/>
      <c r="B66" s="262" t="s">
        <v>119</v>
      </c>
      <c r="C66" s="158" t="s">
        <v>38</v>
      </c>
      <c r="D66" s="158" t="s">
        <v>38</v>
      </c>
      <c r="E66" s="158" t="s">
        <v>38</v>
      </c>
      <c r="F66" s="158" t="s">
        <v>38</v>
      </c>
      <c r="G66" s="76" t="s">
        <v>38</v>
      </c>
      <c r="H66" s="76" t="s">
        <v>38</v>
      </c>
      <c r="I66" s="76" t="s">
        <v>38</v>
      </c>
      <c r="J66" s="77" t="s">
        <v>38</v>
      </c>
      <c r="K66" s="299">
        <f t="shared" si="40"/>
        <v>0</v>
      </c>
      <c r="L66" s="79">
        <v>0</v>
      </c>
      <c r="M66" s="80">
        <f t="shared" si="33"/>
        <v>0</v>
      </c>
      <c r="N66" s="98">
        <v>3.833333333333333</v>
      </c>
      <c r="O66" s="98">
        <v>0</v>
      </c>
      <c r="P66" s="82">
        <f t="shared" si="36"/>
        <v>3.833333333333333</v>
      </c>
      <c r="Q66" s="83">
        <f t="shared" si="38"/>
        <v>0.19166666666666665</v>
      </c>
      <c r="R66" s="84">
        <f t="shared" si="19"/>
        <v>4.0249999999999995</v>
      </c>
      <c r="S66" s="83">
        <f t="shared" si="39"/>
        <v>0.20124999999999998</v>
      </c>
      <c r="T66" s="85">
        <v>0</v>
      </c>
      <c r="U66" s="86">
        <v>34</v>
      </c>
      <c r="V66" s="136">
        <f t="shared" si="41"/>
        <v>34</v>
      </c>
      <c r="W66" s="78">
        <f t="shared" si="12"/>
        <v>17</v>
      </c>
      <c r="X66" s="87">
        <f t="shared" si="21"/>
        <v>0.97142857142857142</v>
      </c>
      <c r="Y66" s="88">
        <f t="shared" si="15"/>
        <v>1.2142857142857142</v>
      </c>
      <c r="Z66" s="100">
        <f t="shared" si="34"/>
        <v>0.19166666666666665</v>
      </c>
      <c r="AA66" s="100">
        <f t="shared" si="35"/>
        <v>0.97142857142857142</v>
      </c>
      <c r="AB66" s="100">
        <f t="shared" si="28"/>
        <v>1.2142857142857142</v>
      </c>
      <c r="AC66" s="145">
        <v>3</v>
      </c>
      <c r="AD66" s="128" t="s">
        <v>38</v>
      </c>
      <c r="AE66" s="94" t="s">
        <v>38</v>
      </c>
      <c r="AF66" s="94" t="s">
        <v>38</v>
      </c>
      <c r="AG66" s="94" t="s">
        <v>38</v>
      </c>
      <c r="AH66" s="94" t="s">
        <v>38</v>
      </c>
      <c r="AI66" s="94" t="s">
        <v>38</v>
      </c>
      <c r="AJ66" s="147" t="s">
        <v>38</v>
      </c>
      <c r="AK66" s="147" t="s">
        <v>38</v>
      </c>
      <c r="AL66" s="147" t="s">
        <v>38</v>
      </c>
      <c r="AM66" s="147" t="s">
        <v>38</v>
      </c>
      <c r="AN66" s="147" t="s">
        <v>38</v>
      </c>
      <c r="AO66" s="146"/>
      <c r="AP66" s="63"/>
    </row>
    <row r="67" spans="1:42" ht="21.75" customHeight="1" x14ac:dyDescent="0.2">
      <c r="A67" s="343"/>
      <c r="B67" s="263" t="s">
        <v>120</v>
      </c>
      <c r="C67" s="158" t="s">
        <v>38</v>
      </c>
      <c r="D67" s="158">
        <v>1</v>
      </c>
      <c r="E67" s="158">
        <v>2</v>
      </c>
      <c r="F67" s="158">
        <v>1</v>
      </c>
      <c r="G67" s="76" t="s">
        <v>38</v>
      </c>
      <c r="H67" s="76" t="s">
        <v>38</v>
      </c>
      <c r="I67" s="76">
        <v>1</v>
      </c>
      <c r="J67" s="77">
        <v>1</v>
      </c>
      <c r="K67" s="299">
        <f t="shared" si="40"/>
        <v>6</v>
      </c>
      <c r="L67" s="79">
        <v>0</v>
      </c>
      <c r="M67" s="80">
        <f t="shared" si="33"/>
        <v>6</v>
      </c>
      <c r="N67" s="98">
        <v>131.08333333333334</v>
      </c>
      <c r="O67" s="98">
        <v>0</v>
      </c>
      <c r="P67" s="82">
        <f t="shared" si="36"/>
        <v>131.08333333333334</v>
      </c>
      <c r="Q67" s="83">
        <f t="shared" si="38"/>
        <v>6.5541666666666671</v>
      </c>
      <c r="R67" s="84">
        <f t="shared" si="19"/>
        <v>137.63750000000002</v>
      </c>
      <c r="S67" s="83">
        <f t="shared" si="39"/>
        <v>6.8818750000000009</v>
      </c>
      <c r="T67" s="103">
        <v>149</v>
      </c>
      <c r="U67" s="85">
        <v>0</v>
      </c>
      <c r="V67" s="136">
        <f t="shared" si="41"/>
        <v>149</v>
      </c>
      <c r="W67" s="78">
        <f t="shared" si="12"/>
        <v>74.5</v>
      </c>
      <c r="X67" s="87">
        <f t="shared" si="21"/>
        <v>4.2571428571428571</v>
      </c>
      <c r="Y67" s="88">
        <f t="shared" si="15"/>
        <v>5.3214285714285712</v>
      </c>
      <c r="Z67" s="89">
        <f t="shared" si="34"/>
        <v>0.55416666666666714</v>
      </c>
      <c r="AA67" s="89">
        <f t="shared" si="35"/>
        <v>-1.7428571428571429</v>
      </c>
      <c r="AB67" s="89">
        <f t="shared" si="28"/>
        <v>-0.67857142857142883</v>
      </c>
      <c r="AC67" s="145">
        <v>5</v>
      </c>
      <c r="AD67" s="128" t="s">
        <v>38</v>
      </c>
      <c r="AE67" s="94">
        <v>1</v>
      </c>
      <c r="AF67" s="94">
        <v>1</v>
      </c>
      <c r="AG67" s="94" t="s">
        <v>38</v>
      </c>
      <c r="AH67" s="94" t="s">
        <v>38</v>
      </c>
      <c r="AI67" s="94" t="s">
        <v>38</v>
      </c>
      <c r="AJ67" s="147" t="s">
        <v>38</v>
      </c>
      <c r="AK67" s="147" t="s">
        <v>38</v>
      </c>
      <c r="AL67" s="147" t="s">
        <v>38</v>
      </c>
      <c r="AM67" s="147" t="s">
        <v>38</v>
      </c>
      <c r="AN67" s="147" t="s">
        <v>38</v>
      </c>
      <c r="AO67" s="146"/>
      <c r="AP67" s="63"/>
    </row>
    <row r="68" spans="1:42" ht="21.75" customHeight="1" x14ac:dyDescent="0.2">
      <c r="A68" s="322" t="s">
        <v>270</v>
      </c>
      <c r="B68" s="263" t="s">
        <v>27</v>
      </c>
      <c r="C68" s="158" t="s">
        <v>38</v>
      </c>
      <c r="D68" s="158">
        <v>1</v>
      </c>
      <c r="E68" s="158">
        <v>2</v>
      </c>
      <c r="F68" s="158">
        <v>1</v>
      </c>
      <c r="G68" s="301" t="s">
        <v>38</v>
      </c>
      <c r="H68" s="301" t="s">
        <v>38</v>
      </c>
      <c r="I68" s="301">
        <v>1</v>
      </c>
      <c r="J68" s="302">
        <v>3</v>
      </c>
      <c r="K68" s="299">
        <f t="shared" si="40"/>
        <v>8</v>
      </c>
      <c r="L68" s="79">
        <v>0</v>
      </c>
      <c r="M68" s="303">
        <f t="shared" si="33"/>
        <v>8</v>
      </c>
      <c r="N68" s="98">
        <v>58.194444444444443</v>
      </c>
      <c r="O68" s="98">
        <v>0</v>
      </c>
      <c r="P68" s="82">
        <f t="shared" si="36"/>
        <v>58.194444444444443</v>
      </c>
      <c r="Q68" s="83">
        <f t="shared" si="38"/>
        <v>2.9097222222222223</v>
      </c>
      <c r="R68" s="84">
        <f t="shared" si="19"/>
        <v>61.104166666666664</v>
      </c>
      <c r="S68" s="83">
        <f t="shared" si="39"/>
        <v>3.0552083333333333</v>
      </c>
      <c r="T68" s="103">
        <v>108</v>
      </c>
      <c r="U68" s="85">
        <v>0</v>
      </c>
      <c r="V68" s="136">
        <f t="shared" si="41"/>
        <v>108</v>
      </c>
      <c r="W68" s="78">
        <f t="shared" si="12"/>
        <v>54</v>
      </c>
      <c r="X68" s="87">
        <f t="shared" si="21"/>
        <v>3.0857142857142859</v>
      </c>
      <c r="Y68" s="88">
        <f t="shared" si="15"/>
        <v>3.8571428571428572</v>
      </c>
      <c r="Z68" s="89">
        <f t="shared" si="34"/>
        <v>-5.0902777777777777</v>
      </c>
      <c r="AA68" s="89">
        <f t="shared" si="35"/>
        <v>-4.9142857142857146</v>
      </c>
      <c r="AB68" s="89">
        <f t="shared" si="28"/>
        <v>-4.1428571428571423</v>
      </c>
      <c r="AC68" s="145">
        <v>5</v>
      </c>
      <c r="AD68" s="128" t="s">
        <v>38</v>
      </c>
      <c r="AE68" s="94" t="s">
        <v>38</v>
      </c>
      <c r="AF68" s="94" t="s">
        <v>38</v>
      </c>
      <c r="AG68" s="94" t="s">
        <v>38</v>
      </c>
      <c r="AH68" s="94" t="s">
        <v>38</v>
      </c>
      <c r="AI68" s="94" t="s">
        <v>38</v>
      </c>
      <c r="AJ68" s="147" t="s">
        <v>38</v>
      </c>
      <c r="AK68" s="147" t="s">
        <v>38</v>
      </c>
      <c r="AL68" s="147" t="s">
        <v>38</v>
      </c>
      <c r="AM68" s="147" t="s">
        <v>38</v>
      </c>
      <c r="AN68" s="147" t="s">
        <v>38</v>
      </c>
      <c r="AO68" s="146"/>
      <c r="AP68" s="63"/>
    </row>
    <row r="69" spans="1:42" ht="21.75" customHeight="1" x14ac:dyDescent="0.2">
      <c r="A69" s="322" t="s">
        <v>271</v>
      </c>
      <c r="B69" s="263" t="s">
        <v>27</v>
      </c>
      <c r="C69" s="158" t="s">
        <v>38</v>
      </c>
      <c r="D69" s="158" t="s">
        <v>38</v>
      </c>
      <c r="E69" s="158" t="s">
        <v>38</v>
      </c>
      <c r="F69" s="158" t="s">
        <v>38</v>
      </c>
      <c r="G69" s="76" t="s">
        <v>38</v>
      </c>
      <c r="H69" s="76" t="s">
        <v>38</v>
      </c>
      <c r="I69" s="76">
        <v>3</v>
      </c>
      <c r="J69" s="77">
        <v>5</v>
      </c>
      <c r="K69" s="299">
        <f t="shared" si="40"/>
        <v>8</v>
      </c>
      <c r="L69" s="79">
        <v>2</v>
      </c>
      <c r="M69" s="80">
        <f t="shared" si="33"/>
        <v>6</v>
      </c>
      <c r="N69" s="98">
        <v>310.67</v>
      </c>
      <c r="O69" s="98">
        <v>0</v>
      </c>
      <c r="P69" s="82">
        <f t="shared" si="36"/>
        <v>310.67</v>
      </c>
      <c r="Q69" s="83">
        <f t="shared" si="38"/>
        <v>15.5335</v>
      </c>
      <c r="R69" s="84">
        <f t="shared" si="19"/>
        <v>326.20350000000002</v>
      </c>
      <c r="S69" s="83">
        <f t="shared" si="39"/>
        <v>16.310175000000001</v>
      </c>
      <c r="T69" s="103">
        <v>261</v>
      </c>
      <c r="U69" s="85">
        <v>0</v>
      </c>
      <c r="V69" s="136">
        <f t="shared" si="41"/>
        <v>261</v>
      </c>
      <c r="W69" s="78">
        <f t="shared" si="12"/>
        <v>130.5</v>
      </c>
      <c r="X69" s="87">
        <f t="shared" si="21"/>
        <v>7.4571428571428573</v>
      </c>
      <c r="Y69" s="88">
        <f t="shared" si="15"/>
        <v>9.3214285714285712</v>
      </c>
      <c r="Z69" s="89">
        <f t="shared" si="34"/>
        <v>9.5335000000000001</v>
      </c>
      <c r="AA69" s="89">
        <f t="shared" si="35"/>
        <v>1.4571428571428573</v>
      </c>
      <c r="AB69" s="89">
        <f t="shared" si="28"/>
        <v>3.3214285714285712</v>
      </c>
      <c r="AC69" s="145">
        <v>5</v>
      </c>
      <c r="AD69" s="128" t="s">
        <v>38</v>
      </c>
      <c r="AE69" s="94" t="s">
        <v>38</v>
      </c>
      <c r="AF69" s="94" t="s">
        <v>38</v>
      </c>
      <c r="AG69" s="94" t="s">
        <v>38</v>
      </c>
      <c r="AH69" s="94" t="s">
        <v>38</v>
      </c>
      <c r="AI69" s="94" t="s">
        <v>38</v>
      </c>
      <c r="AJ69" s="147" t="s">
        <v>38</v>
      </c>
      <c r="AK69" s="147" t="s">
        <v>38</v>
      </c>
      <c r="AL69" s="147" t="s">
        <v>38</v>
      </c>
      <c r="AM69" s="147" t="s">
        <v>38</v>
      </c>
      <c r="AN69" s="147" t="s">
        <v>38</v>
      </c>
      <c r="AO69" s="146"/>
      <c r="AP69" s="63"/>
    </row>
    <row r="70" spans="1:42" ht="21.75" customHeight="1" x14ac:dyDescent="0.2">
      <c r="A70" s="322" t="s">
        <v>272</v>
      </c>
      <c r="B70" s="263" t="s">
        <v>21</v>
      </c>
      <c r="C70" s="158" t="s">
        <v>38</v>
      </c>
      <c r="D70" s="158" t="s">
        <v>38</v>
      </c>
      <c r="E70" s="158">
        <v>2</v>
      </c>
      <c r="F70" s="158">
        <v>1</v>
      </c>
      <c r="G70" s="301" t="s">
        <v>38</v>
      </c>
      <c r="H70" s="301" t="s">
        <v>38</v>
      </c>
      <c r="I70" s="301" t="s">
        <v>38</v>
      </c>
      <c r="J70" s="302">
        <v>5</v>
      </c>
      <c r="K70" s="304">
        <f>SUM(D70:J70)</f>
        <v>8</v>
      </c>
      <c r="L70" s="305">
        <v>0</v>
      </c>
      <c r="M70" s="306">
        <f t="shared" si="33"/>
        <v>8</v>
      </c>
      <c r="N70" s="98">
        <v>183.88888888888889</v>
      </c>
      <c r="O70" s="98">
        <v>0</v>
      </c>
      <c r="P70" s="82">
        <f t="shared" si="36"/>
        <v>183.88888888888889</v>
      </c>
      <c r="Q70" s="83">
        <f>P70/30</f>
        <v>6.1296296296296298</v>
      </c>
      <c r="R70" s="84">
        <f t="shared" si="19"/>
        <v>193.08333333333334</v>
      </c>
      <c r="S70" s="83">
        <f>R70/30</f>
        <v>6.4361111111111118</v>
      </c>
      <c r="T70" s="103">
        <v>172</v>
      </c>
      <c r="U70" s="85">
        <v>0</v>
      </c>
      <c r="V70" s="136">
        <f t="shared" si="41"/>
        <v>172</v>
      </c>
      <c r="W70" s="78">
        <f t="shared" si="12"/>
        <v>86</v>
      </c>
      <c r="X70" s="87">
        <f t="shared" si="21"/>
        <v>4.9142857142857146</v>
      </c>
      <c r="Y70" s="88">
        <f t="shared" si="15"/>
        <v>6.1428571428571432</v>
      </c>
      <c r="Z70" s="89">
        <f t="shared" si="34"/>
        <v>-1.8703703703703702</v>
      </c>
      <c r="AA70" s="89">
        <f t="shared" si="35"/>
        <v>-3.0857142857142854</v>
      </c>
      <c r="AB70" s="89">
        <f t="shared" si="28"/>
        <v>-1.8571428571428568</v>
      </c>
      <c r="AC70" s="145">
        <v>5</v>
      </c>
      <c r="AD70" s="128" t="s">
        <v>38</v>
      </c>
      <c r="AE70" s="94" t="s">
        <v>38</v>
      </c>
      <c r="AF70" s="94" t="s">
        <v>38</v>
      </c>
      <c r="AG70" s="94" t="s">
        <v>38</v>
      </c>
      <c r="AH70" s="146">
        <v>1</v>
      </c>
      <c r="AI70" s="94" t="s">
        <v>38</v>
      </c>
      <c r="AJ70" s="147" t="s">
        <v>38</v>
      </c>
      <c r="AK70" s="147" t="s">
        <v>38</v>
      </c>
      <c r="AL70" s="147" t="s">
        <v>38</v>
      </c>
      <c r="AM70" s="147" t="s">
        <v>38</v>
      </c>
      <c r="AN70" s="147" t="s">
        <v>38</v>
      </c>
      <c r="AO70" s="146"/>
      <c r="AP70" s="63"/>
    </row>
    <row r="71" spans="1:42" ht="21.75" customHeight="1" x14ac:dyDescent="0.2">
      <c r="A71" s="322" t="s">
        <v>273</v>
      </c>
      <c r="B71" s="263" t="s">
        <v>27</v>
      </c>
      <c r="C71" s="158" t="s">
        <v>38</v>
      </c>
      <c r="D71" s="158" t="s">
        <v>38</v>
      </c>
      <c r="E71" s="158" t="s">
        <v>38</v>
      </c>
      <c r="F71" s="158" t="s">
        <v>38</v>
      </c>
      <c r="G71" s="301" t="s">
        <v>38</v>
      </c>
      <c r="H71" s="301" t="s">
        <v>38</v>
      </c>
      <c r="I71" s="301">
        <v>3</v>
      </c>
      <c r="J71" s="302">
        <v>4</v>
      </c>
      <c r="K71" s="299">
        <f>SUM(D71:J71)</f>
        <v>7</v>
      </c>
      <c r="L71" s="307">
        <v>0</v>
      </c>
      <c r="M71" s="303">
        <f t="shared" si="33"/>
        <v>7</v>
      </c>
      <c r="N71" s="98">
        <v>28.694444444444443</v>
      </c>
      <c r="O71" s="98">
        <v>0</v>
      </c>
      <c r="P71" s="82">
        <f t="shared" si="36"/>
        <v>28.694444444444443</v>
      </c>
      <c r="Q71" s="83">
        <f>P71/20</f>
        <v>1.4347222222222222</v>
      </c>
      <c r="R71" s="84">
        <f t="shared" si="19"/>
        <v>30.129166666666666</v>
      </c>
      <c r="S71" s="83">
        <f>R71/20</f>
        <v>1.5064583333333332</v>
      </c>
      <c r="T71" s="103">
        <v>149</v>
      </c>
      <c r="U71" s="85">
        <v>0</v>
      </c>
      <c r="V71" s="136">
        <f t="shared" si="41"/>
        <v>149</v>
      </c>
      <c r="W71" s="78">
        <f t="shared" si="12"/>
        <v>74.5</v>
      </c>
      <c r="X71" s="87">
        <f t="shared" si="21"/>
        <v>4.2571428571428571</v>
      </c>
      <c r="Y71" s="88">
        <f t="shared" si="15"/>
        <v>5.3214285714285712</v>
      </c>
      <c r="Z71" s="89">
        <f t="shared" si="34"/>
        <v>-5.5652777777777782</v>
      </c>
      <c r="AA71" s="89">
        <f t="shared" si="35"/>
        <v>-2.7428571428571429</v>
      </c>
      <c r="AB71" s="89">
        <f t="shared" si="28"/>
        <v>-1.6785714285714288</v>
      </c>
      <c r="AC71" s="145">
        <v>5</v>
      </c>
      <c r="AD71" s="128" t="s">
        <v>38</v>
      </c>
      <c r="AE71" s="94" t="s">
        <v>38</v>
      </c>
      <c r="AF71" s="94" t="s">
        <v>38</v>
      </c>
      <c r="AG71" s="94" t="s">
        <v>38</v>
      </c>
      <c r="AH71" s="94" t="s">
        <v>38</v>
      </c>
      <c r="AI71" s="94" t="s">
        <v>38</v>
      </c>
      <c r="AJ71" s="147" t="s">
        <v>38</v>
      </c>
      <c r="AK71" s="147" t="s">
        <v>38</v>
      </c>
      <c r="AL71" s="147" t="s">
        <v>38</v>
      </c>
      <c r="AM71" s="147" t="s">
        <v>38</v>
      </c>
      <c r="AN71" s="147" t="s">
        <v>38</v>
      </c>
      <c r="AO71" s="146"/>
      <c r="AP71" s="63"/>
    </row>
    <row r="72" spans="1:42" ht="21.75" customHeight="1" x14ac:dyDescent="0.2">
      <c r="A72" s="322" t="s">
        <v>274</v>
      </c>
      <c r="B72" s="263" t="s">
        <v>27</v>
      </c>
      <c r="C72" s="158" t="s">
        <v>38</v>
      </c>
      <c r="D72" s="158" t="s">
        <v>38</v>
      </c>
      <c r="E72" s="158">
        <v>1</v>
      </c>
      <c r="F72" s="158" t="s">
        <v>38</v>
      </c>
      <c r="G72" s="76" t="s">
        <v>38</v>
      </c>
      <c r="H72" s="76" t="s">
        <v>38</v>
      </c>
      <c r="I72" s="76">
        <v>2</v>
      </c>
      <c r="J72" s="77">
        <v>2</v>
      </c>
      <c r="K72" s="299">
        <f t="shared" si="40"/>
        <v>5</v>
      </c>
      <c r="L72" s="79">
        <v>0</v>
      </c>
      <c r="M72" s="124">
        <f t="shared" si="33"/>
        <v>5</v>
      </c>
      <c r="N72" s="81">
        <v>50.833333333333336</v>
      </c>
      <c r="O72" s="81">
        <v>0</v>
      </c>
      <c r="P72" s="82">
        <f t="shared" si="36"/>
        <v>50.833333333333336</v>
      </c>
      <c r="Q72" s="83">
        <f>P72/20</f>
        <v>2.541666666666667</v>
      </c>
      <c r="R72" s="84">
        <f t="shared" si="19"/>
        <v>53.375</v>
      </c>
      <c r="S72" s="83">
        <f>R72/20</f>
        <v>2.6687500000000002</v>
      </c>
      <c r="T72" s="125">
        <v>114</v>
      </c>
      <c r="U72" s="85">
        <v>0</v>
      </c>
      <c r="V72" s="136">
        <f t="shared" si="41"/>
        <v>114</v>
      </c>
      <c r="W72" s="78">
        <f t="shared" si="12"/>
        <v>57</v>
      </c>
      <c r="X72" s="87">
        <f t="shared" si="21"/>
        <v>3.2571428571428571</v>
      </c>
      <c r="Y72" s="88">
        <f t="shared" si="15"/>
        <v>4.0714285714285712</v>
      </c>
      <c r="Z72" s="89">
        <f t="shared" si="34"/>
        <v>-2.458333333333333</v>
      </c>
      <c r="AA72" s="89">
        <f t="shared" si="35"/>
        <v>-1.7428571428571429</v>
      </c>
      <c r="AB72" s="89">
        <f t="shared" si="28"/>
        <v>-0.92857142857142883</v>
      </c>
      <c r="AC72" s="145">
        <v>5</v>
      </c>
      <c r="AD72" s="128" t="s">
        <v>38</v>
      </c>
      <c r="AE72" s="94" t="s">
        <v>38</v>
      </c>
      <c r="AF72" s="94" t="s">
        <v>38</v>
      </c>
      <c r="AG72" s="94" t="s">
        <v>38</v>
      </c>
      <c r="AH72" s="94" t="s">
        <v>38</v>
      </c>
      <c r="AI72" s="94" t="s">
        <v>38</v>
      </c>
      <c r="AJ72" s="147" t="s">
        <v>38</v>
      </c>
      <c r="AK72" s="147" t="s">
        <v>38</v>
      </c>
      <c r="AL72" s="147" t="s">
        <v>38</v>
      </c>
      <c r="AM72" s="147" t="s">
        <v>38</v>
      </c>
      <c r="AN72" s="147" t="s">
        <v>38</v>
      </c>
      <c r="AO72" s="146"/>
      <c r="AP72" s="63"/>
    </row>
    <row r="73" spans="1:42" s="18" customFormat="1" ht="21.75" customHeight="1" x14ac:dyDescent="0.55000000000000004">
      <c r="A73" s="176" t="s">
        <v>85</v>
      </c>
      <c r="B73" s="267"/>
      <c r="C73" s="149">
        <f t="shared" ref="C73:Q73" si="42">SUM(C74:C89)</f>
        <v>0</v>
      </c>
      <c r="D73" s="149">
        <f t="shared" si="42"/>
        <v>6</v>
      </c>
      <c r="E73" s="149">
        <f t="shared" si="42"/>
        <v>12</v>
      </c>
      <c r="F73" s="149">
        <f t="shared" si="42"/>
        <v>15</v>
      </c>
      <c r="G73" s="149">
        <f t="shared" si="42"/>
        <v>0</v>
      </c>
      <c r="H73" s="149">
        <f t="shared" si="42"/>
        <v>1</v>
      </c>
      <c r="I73" s="149">
        <f t="shared" si="42"/>
        <v>18</v>
      </c>
      <c r="J73" s="149">
        <f t="shared" si="42"/>
        <v>46</v>
      </c>
      <c r="K73" s="149">
        <f t="shared" si="42"/>
        <v>98</v>
      </c>
      <c r="L73" s="149">
        <f t="shared" si="42"/>
        <v>1</v>
      </c>
      <c r="M73" s="149">
        <f t="shared" si="42"/>
        <v>97</v>
      </c>
      <c r="N73" s="149">
        <f t="shared" si="42"/>
        <v>2642.9455555555555</v>
      </c>
      <c r="O73" s="149">
        <f t="shared" si="42"/>
        <v>44.555999999999941</v>
      </c>
      <c r="P73" s="67">
        <f t="shared" si="42"/>
        <v>2687.5015555555556</v>
      </c>
      <c r="Q73" s="66">
        <f t="shared" si="42"/>
        <v>107.50006222222223</v>
      </c>
      <c r="R73" s="152">
        <f t="shared" si="19"/>
        <v>2821.8766333333333</v>
      </c>
      <c r="S73" s="66">
        <f>SUM(S74:S89)</f>
        <v>112.87506533333334</v>
      </c>
      <c r="T73" s="256">
        <f>SUM(T74:T89)</f>
        <v>2738</v>
      </c>
      <c r="U73" s="256">
        <f>SUM(U74:U89)</f>
        <v>55</v>
      </c>
      <c r="V73" s="257">
        <f t="shared" si="41"/>
        <v>2793</v>
      </c>
      <c r="W73" s="256">
        <f t="shared" si="12"/>
        <v>1396.5</v>
      </c>
      <c r="X73" s="65">
        <f>SUM(X74:X89)</f>
        <v>79.8</v>
      </c>
      <c r="Y73" s="155">
        <f t="shared" si="15"/>
        <v>99.75</v>
      </c>
      <c r="Z73" s="69">
        <f>SUM(Z74:Z89)</f>
        <v>10.50006222222223</v>
      </c>
      <c r="AA73" s="69">
        <f>SUM(AA74:AA89)</f>
        <v>-17.2</v>
      </c>
      <c r="AB73" s="69">
        <f t="shared" si="28"/>
        <v>2.75</v>
      </c>
      <c r="AC73" s="66">
        <f>SUM(AC74:AC89)</f>
        <v>74</v>
      </c>
      <c r="AD73" s="65">
        <v>0</v>
      </c>
      <c r="AE73" s="150">
        <f t="shared" ref="AE73:AN73" si="43">SUM(AE74:AE89)</f>
        <v>4</v>
      </c>
      <c r="AF73" s="150">
        <f t="shared" si="43"/>
        <v>0</v>
      </c>
      <c r="AG73" s="150">
        <f t="shared" si="43"/>
        <v>2</v>
      </c>
      <c r="AH73" s="150">
        <f t="shared" si="43"/>
        <v>0</v>
      </c>
      <c r="AI73" s="150">
        <f t="shared" si="43"/>
        <v>2</v>
      </c>
      <c r="AJ73" s="65">
        <f t="shared" si="43"/>
        <v>0</v>
      </c>
      <c r="AK73" s="65">
        <f t="shared" si="43"/>
        <v>0</v>
      </c>
      <c r="AL73" s="65">
        <f t="shared" si="43"/>
        <v>0</v>
      </c>
      <c r="AM73" s="65">
        <f t="shared" si="43"/>
        <v>0</v>
      </c>
      <c r="AN73" s="65">
        <f t="shared" si="43"/>
        <v>0</v>
      </c>
      <c r="AO73" s="156"/>
      <c r="AP73" s="72"/>
    </row>
    <row r="74" spans="1:42" ht="21.75" customHeight="1" x14ac:dyDescent="0.55000000000000004">
      <c r="A74" s="177" t="s">
        <v>86</v>
      </c>
      <c r="B74" s="268" t="s">
        <v>33</v>
      </c>
      <c r="C74" s="158" t="s">
        <v>38</v>
      </c>
      <c r="D74" s="75">
        <v>1</v>
      </c>
      <c r="E74" s="75">
        <v>2</v>
      </c>
      <c r="F74" s="75">
        <v>1</v>
      </c>
      <c r="G74" s="76" t="s">
        <v>38</v>
      </c>
      <c r="H74" s="76" t="s">
        <v>38</v>
      </c>
      <c r="I74" s="76">
        <v>3</v>
      </c>
      <c r="J74" s="77">
        <v>4</v>
      </c>
      <c r="K74" s="78">
        <f>SUM(C74:J74)</f>
        <v>11</v>
      </c>
      <c r="L74" s="79">
        <v>0</v>
      </c>
      <c r="M74" s="218">
        <f>K74-L74</f>
        <v>11</v>
      </c>
      <c r="N74" s="81">
        <v>308.33</v>
      </c>
      <c r="O74" s="81">
        <v>0</v>
      </c>
      <c r="P74" s="82">
        <f>SUM(N74:O74)</f>
        <v>308.33</v>
      </c>
      <c r="Q74" s="83">
        <f t="shared" ref="Q74:Q89" si="44">P74/25</f>
        <v>12.3332</v>
      </c>
      <c r="R74" s="84">
        <f t="shared" si="19"/>
        <v>323.74649999999997</v>
      </c>
      <c r="S74" s="83">
        <f t="shared" ref="S74:S89" si="45">R74/25</f>
        <v>12.949859999999999</v>
      </c>
      <c r="T74" s="125">
        <v>318</v>
      </c>
      <c r="U74" s="85">
        <v>0</v>
      </c>
      <c r="V74" s="136">
        <f t="shared" si="41"/>
        <v>318</v>
      </c>
      <c r="W74" s="78">
        <f t="shared" ref="W74:W107" si="46">V74/2</f>
        <v>159</v>
      </c>
      <c r="X74" s="87">
        <f t="shared" ref="X74:X107" si="47">V74/35</f>
        <v>9.0857142857142854</v>
      </c>
      <c r="Y74" s="88">
        <f t="shared" ref="Y74:Y107" si="48">W74/14</f>
        <v>11.357142857142858</v>
      </c>
      <c r="Z74" s="89">
        <f t="shared" ref="Z74:Z99" si="49">Q74-M74</f>
        <v>1.3331999999999997</v>
      </c>
      <c r="AA74" s="89">
        <f t="shared" ref="AA74:AA99" si="50">X74-M74</f>
        <v>-1.9142857142857146</v>
      </c>
      <c r="AB74" s="89">
        <f t="shared" si="28"/>
        <v>0.35714285714285765</v>
      </c>
      <c r="AC74" s="145">
        <v>5</v>
      </c>
      <c r="AD74" s="128" t="s">
        <v>38</v>
      </c>
      <c r="AE74" s="94" t="s">
        <v>38</v>
      </c>
      <c r="AF74" s="94" t="s">
        <v>38</v>
      </c>
      <c r="AG74" s="94" t="s">
        <v>38</v>
      </c>
      <c r="AH74" s="94" t="s">
        <v>38</v>
      </c>
      <c r="AI74" s="146">
        <v>1</v>
      </c>
      <c r="AJ74" s="147" t="s">
        <v>38</v>
      </c>
      <c r="AK74" s="147" t="s">
        <v>38</v>
      </c>
      <c r="AL74" s="147" t="s">
        <v>38</v>
      </c>
      <c r="AM74" s="147" t="s">
        <v>38</v>
      </c>
      <c r="AN74" s="147" t="s">
        <v>38</v>
      </c>
      <c r="AO74" s="146"/>
      <c r="AP74" s="63"/>
    </row>
    <row r="75" spans="1:42" ht="21.75" customHeight="1" x14ac:dyDescent="0.55000000000000004">
      <c r="A75" s="177" t="s">
        <v>87</v>
      </c>
      <c r="B75" s="268" t="s">
        <v>31</v>
      </c>
      <c r="C75" s="158" t="s">
        <v>38</v>
      </c>
      <c r="D75" s="75" t="s">
        <v>38</v>
      </c>
      <c r="E75" s="75">
        <v>2</v>
      </c>
      <c r="F75" s="75">
        <v>3</v>
      </c>
      <c r="G75" s="76" t="s">
        <v>38</v>
      </c>
      <c r="H75" s="76" t="s">
        <v>38</v>
      </c>
      <c r="I75" s="76">
        <v>1</v>
      </c>
      <c r="J75" s="77">
        <v>3</v>
      </c>
      <c r="K75" s="78">
        <f t="shared" ref="K75:K89" si="51">SUM(C75:J75)</f>
        <v>9</v>
      </c>
      <c r="L75" s="79">
        <v>0</v>
      </c>
      <c r="M75" s="218">
        <f t="shared" ref="M75:M89" si="52">K75-L75</f>
        <v>9</v>
      </c>
      <c r="N75" s="98">
        <v>232.28</v>
      </c>
      <c r="O75" s="81">
        <v>0</v>
      </c>
      <c r="P75" s="82">
        <f>SUM(N75:O75)</f>
        <v>232.28</v>
      </c>
      <c r="Q75" s="83">
        <f t="shared" si="44"/>
        <v>9.2911999999999999</v>
      </c>
      <c r="R75" s="84">
        <f t="shared" si="19"/>
        <v>243.89400000000001</v>
      </c>
      <c r="S75" s="83">
        <f t="shared" si="45"/>
        <v>9.7557600000000004</v>
      </c>
      <c r="T75" s="125">
        <v>193</v>
      </c>
      <c r="U75" s="85">
        <v>0</v>
      </c>
      <c r="V75" s="136">
        <f t="shared" si="41"/>
        <v>193</v>
      </c>
      <c r="W75" s="78">
        <f t="shared" si="46"/>
        <v>96.5</v>
      </c>
      <c r="X75" s="87">
        <f t="shared" si="47"/>
        <v>5.5142857142857142</v>
      </c>
      <c r="Y75" s="88">
        <f t="shared" si="48"/>
        <v>6.8928571428571432</v>
      </c>
      <c r="Z75" s="89">
        <f t="shared" si="49"/>
        <v>0.2911999999999999</v>
      </c>
      <c r="AA75" s="89">
        <f t="shared" si="50"/>
        <v>-3.4857142857142858</v>
      </c>
      <c r="AB75" s="89">
        <f t="shared" si="28"/>
        <v>-2.1071428571428568</v>
      </c>
      <c r="AC75" s="145">
        <v>5</v>
      </c>
      <c r="AD75" s="128" t="s">
        <v>38</v>
      </c>
      <c r="AE75" s="94" t="s">
        <v>38</v>
      </c>
      <c r="AF75" s="94" t="s">
        <v>38</v>
      </c>
      <c r="AG75" s="94" t="s">
        <v>38</v>
      </c>
      <c r="AH75" s="94" t="s">
        <v>38</v>
      </c>
      <c r="AI75" s="146">
        <v>1</v>
      </c>
      <c r="AJ75" s="147" t="s">
        <v>38</v>
      </c>
      <c r="AK75" s="147" t="s">
        <v>38</v>
      </c>
      <c r="AL75" s="147" t="s">
        <v>38</v>
      </c>
      <c r="AM75" s="147" t="s">
        <v>38</v>
      </c>
      <c r="AN75" s="147" t="s">
        <v>38</v>
      </c>
      <c r="AO75" s="146"/>
      <c r="AP75" s="63"/>
    </row>
    <row r="76" spans="1:42" ht="21.75" customHeight="1" x14ac:dyDescent="0.55000000000000004">
      <c r="A76" s="177" t="s">
        <v>226</v>
      </c>
      <c r="B76" s="268" t="s">
        <v>31</v>
      </c>
      <c r="C76" s="158" t="s">
        <v>38</v>
      </c>
      <c r="D76" s="75" t="s">
        <v>38</v>
      </c>
      <c r="E76" s="75">
        <v>1</v>
      </c>
      <c r="F76" s="75">
        <v>1</v>
      </c>
      <c r="G76" s="76" t="s">
        <v>38</v>
      </c>
      <c r="H76" s="76" t="s">
        <v>38</v>
      </c>
      <c r="I76" s="76" t="s">
        <v>38</v>
      </c>
      <c r="J76" s="77">
        <v>4</v>
      </c>
      <c r="K76" s="78">
        <f t="shared" si="51"/>
        <v>6</v>
      </c>
      <c r="L76" s="79">
        <v>0</v>
      </c>
      <c r="M76" s="218">
        <f t="shared" si="52"/>
        <v>6</v>
      </c>
      <c r="N76" s="98">
        <v>213.11</v>
      </c>
      <c r="O76" s="81">
        <v>0</v>
      </c>
      <c r="P76" s="82">
        <f>SUM(N76:O76)</f>
        <v>213.11</v>
      </c>
      <c r="Q76" s="83">
        <f t="shared" si="44"/>
        <v>8.5244</v>
      </c>
      <c r="R76" s="84">
        <f t="shared" si="19"/>
        <v>223.7655</v>
      </c>
      <c r="S76" s="83">
        <f t="shared" si="45"/>
        <v>8.9506200000000007</v>
      </c>
      <c r="T76" s="125">
        <v>154</v>
      </c>
      <c r="U76" s="85">
        <v>0</v>
      </c>
      <c r="V76" s="136">
        <f t="shared" si="41"/>
        <v>154</v>
      </c>
      <c r="W76" s="78">
        <f t="shared" si="46"/>
        <v>77</v>
      </c>
      <c r="X76" s="87">
        <f t="shared" si="47"/>
        <v>4.4000000000000004</v>
      </c>
      <c r="Y76" s="88">
        <f t="shared" si="48"/>
        <v>5.5</v>
      </c>
      <c r="Z76" s="89">
        <f t="shared" si="49"/>
        <v>2.5244</v>
      </c>
      <c r="AA76" s="89">
        <f t="shared" si="50"/>
        <v>-1.5999999999999996</v>
      </c>
      <c r="AB76" s="89">
        <f t="shared" si="28"/>
        <v>-0.5</v>
      </c>
      <c r="AC76" s="145">
        <v>5</v>
      </c>
      <c r="AD76" s="128" t="s">
        <v>38</v>
      </c>
      <c r="AE76" s="94" t="s">
        <v>38</v>
      </c>
      <c r="AF76" s="94" t="s">
        <v>38</v>
      </c>
      <c r="AG76" s="94" t="s">
        <v>38</v>
      </c>
      <c r="AH76" s="94" t="s">
        <v>38</v>
      </c>
      <c r="AI76" s="94" t="s">
        <v>38</v>
      </c>
      <c r="AJ76" s="147" t="s">
        <v>38</v>
      </c>
      <c r="AK76" s="147" t="s">
        <v>38</v>
      </c>
      <c r="AL76" s="147" t="s">
        <v>38</v>
      </c>
      <c r="AM76" s="147" t="s">
        <v>38</v>
      </c>
      <c r="AN76" s="147" t="s">
        <v>38</v>
      </c>
      <c r="AO76" s="146"/>
      <c r="AP76" s="63"/>
    </row>
    <row r="77" spans="1:42" ht="21.75" customHeight="1" x14ac:dyDescent="0.45">
      <c r="A77" s="344" t="s">
        <v>89</v>
      </c>
      <c r="B77" s="268" t="s">
        <v>39</v>
      </c>
      <c r="C77" s="158" t="s">
        <v>38</v>
      </c>
      <c r="D77" s="75" t="s">
        <v>38</v>
      </c>
      <c r="E77" s="75" t="s">
        <v>38</v>
      </c>
      <c r="F77" s="75">
        <v>0</v>
      </c>
      <c r="G77" s="76" t="s">
        <v>38</v>
      </c>
      <c r="H77" s="76" t="s">
        <v>38</v>
      </c>
      <c r="I77" s="76">
        <v>0</v>
      </c>
      <c r="J77" s="77" t="s">
        <v>38</v>
      </c>
      <c r="K77" s="78">
        <f t="shared" si="51"/>
        <v>0</v>
      </c>
      <c r="L77" s="79">
        <v>0</v>
      </c>
      <c r="M77" s="218">
        <f t="shared" si="52"/>
        <v>0</v>
      </c>
      <c r="N77" s="98">
        <v>0</v>
      </c>
      <c r="O77" s="81">
        <f>8.92*1.8</f>
        <v>16.056000000000001</v>
      </c>
      <c r="P77" s="82">
        <f>SUM(N77:O77)</f>
        <v>16.056000000000001</v>
      </c>
      <c r="Q77" s="83">
        <f t="shared" si="44"/>
        <v>0.64224000000000003</v>
      </c>
      <c r="R77" s="84">
        <f t="shared" si="19"/>
        <v>16.858800000000002</v>
      </c>
      <c r="S77" s="83">
        <f t="shared" si="45"/>
        <v>0.67435200000000006</v>
      </c>
      <c r="T77" s="96">
        <v>0</v>
      </c>
      <c r="U77" s="179">
        <v>19</v>
      </c>
      <c r="V77" s="136">
        <f t="shared" si="41"/>
        <v>19</v>
      </c>
      <c r="W77" s="78">
        <f t="shared" si="46"/>
        <v>9.5</v>
      </c>
      <c r="X77" s="87">
        <f t="shared" si="47"/>
        <v>0.54285714285714282</v>
      </c>
      <c r="Y77" s="88">
        <f t="shared" si="48"/>
        <v>0.6785714285714286</v>
      </c>
      <c r="Z77" s="89">
        <f t="shared" si="49"/>
        <v>0.64224000000000003</v>
      </c>
      <c r="AA77" s="89">
        <f t="shared" si="50"/>
        <v>0.54285714285714282</v>
      </c>
      <c r="AB77" s="89">
        <f t="shared" si="28"/>
        <v>0.6785714285714286</v>
      </c>
      <c r="AC77" s="145">
        <v>3</v>
      </c>
      <c r="AD77" s="128" t="s">
        <v>38</v>
      </c>
      <c r="AE77" s="94" t="s">
        <v>38</v>
      </c>
      <c r="AF77" s="94" t="s">
        <v>38</v>
      </c>
      <c r="AG77" s="94" t="s">
        <v>38</v>
      </c>
      <c r="AH77" s="94" t="s">
        <v>38</v>
      </c>
      <c r="AI77" s="94" t="s">
        <v>38</v>
      </c>
      <c r="AJ77" s="147" t="s">
        <v>38</v>
      </c>
      <c r="AK77" s="147" t="s">
        <v>38</v>
      </c>
      <c r="AL77" s="147" t="s">
        <v>38</v>
      </c>
      <c r="AM77" s="147" t="s">
        <v>38</v>
      </c>
      <c r="AN77" s="147" t="s">
        <v>38</v>
      </c>
      <c r="AO77" s="146"/>
      <c r="AP77" s="63"/>
    </row>
    <row r="78" spans="1:42" ht="21.75" customHeight="1" x14ac:dyDescent="0.45">
      <c r="A78" s="344"/>
      <c r="B78" s="269" t="s">
        <v>32</v>
      </c>
      <c r="C78" s="75" t="s">
        <v>38</v>
      </c>
      <c r="D78" s="75" t="s">
        <v>38</v>
      </c>
      <c r="E78" s="75" t="s">
        <v>38</v>
      </c>
      <c r="F78" s="75" t="s">
        <v>38</v>
      </c>
      <c r="G78" s="76" t="s">
        <v>38</v>
      </c>
      <c r="H78" s="76" t="s">
        <v>38</v>
      </c>
      <c r="I78" s="76" t="s">
        <v>38</v>
      </c>
      <c r="J78" s="77" t="s">
        <v>38</v>
      </c>
      <c r="K78" s="78">
        <f t="shared" si="51"/>
        <v>0</v>
      </c>
      <c r="L78" s="79">
        <v>0</v>
      </c>
      <c r="M78" s="218">
        <f t="shared" si="52"/>
        <v>0</v>
      </c>
      <c r="N78" s="181">
        <v>0</v>
      </c>
      <c r="O78" s="98">
        <f>15.8333333333333*1.8</f>
        <v>28.49999999999994</v>
      </c>
      <c r="P78" s="82">
        <f>SUM(O78:O78)</f>
        <v>28.49999999999994</v>
      </c>
      <c r="Q78" s="83">
        <f t="shared" si="44"/>
        <v>1.1399999999999977</v>
      </c>
      <c r="R78" s="84">
        <f t="shared" si="19"/>
        <v>29.924999999999937</v>
      </c>
      <c r="S78" s="83">
        <f t="shared" si="45"/>
        <v>1.1969999999999974</v>
      </c>
      <c r="T78" s="85">
        <v>0</v>
      </c>
      <c r="U78" s="86">
        <v>36</v>
      </c>
      <c r="V78" s="136">
        <f t="shared" si="41"/>
        <v>36</v>
      </c>
      <c r="W78" s="78">
        <f t="shared" si="46"/>
        <v>18</v>
      </c>
      <c r="X78" s="87">
        <f t="shared" si="47"/>
        <v>1.0285714285714285</v>
      </c>
      <c r="Y78" s="88">
        <f t="shared" si="48"/>
        <v>1.2857142857142858</v>
      </c>
      <c r="Z78" s="100">
        <f t="shared" si="49"/>
        <v>1.1399999999999977</v>
      </c>
      <c r="AA78" s="100">
        <f t="shared" si="50"/>
        <v>1.0285714285714285</v>
      </c>
      <c r="AB78" s="100">
        <f t="shared" si="28"/>
        <v>1.2857142857142858</v>
      </c>
      <c r="AC78" s="145">
        <v>3</v>
      </c>
      <c r="AD78" s="128" t="s">
        <v>38</v>
      </c>
      <c r="AE78" s="94" t="s">
        <v>38</v>
      </c>
      <c r="AF78" s="94" t="s">
        <v>38</v>
      </c>
      <c r="AG78" s="94" t="s">
        <v>38</v>
      </c>
      <c r="AH78" s="94" t="s">
        <v>38</v>
      </c>
      <c r="AI78" s="94" t="s">
        <v>38</v>
      </c>
      <c r="AJ78" s="147" t="s">
        <v>38</v>
      </c>
      <c r="AK78" s="147" t="s">
        <v>38</v>
      </c>
      <c r="AL78" s="147" t="s">
        <v>38</v>
      </c>
      <c r="AM78" s="147" t="s">
        <v>38</v>
      </c>
      <c r="AN78" s="147" t="s">
        <v>38</v>
      </c>
      <c r="AO78" s="146"/>
      <c r="AP78" s="63"/>
    </row>
    <row r="79" spans="1:42" ht="21.75" customHeight="1" x14ac:dyDescent="0.45">
      <c r="A79" s="344"/>
      <c r="B79" s="268" t="s">
        <v>257</v>
      </c>
      <c r="C79" s="75" t="s">
        <v>38</v>
      </c>
      <c r="D79" s="75" t="s">
        <v>38</v>
      </c>
      <c r="E79" s="75">
        <v>1</v>
      </c>
      <c r="F79" s="75">
        <v>1</v>
      </c>
      <c r="G79" s="76" t="s">
        <v>38</v>
      </c>
      <c r="H79" s="76" t="s">
        <v>38</v>
      </c>
      <c r="I79" s="76">
        <v>6</v>
      </c>
      <c r="J79" s="77">
        <v>6</v>
      </c>
      <c r="K79" s="78">
        <f t="shared" si="51"/>
        <v>14</v>
      </c>
      <c r="L79" s="79">
        <v>1</v>
      </c>
      <c r="M79" s="218">
        <f t="shared" si="52"/>
        <v>13</v>
      </c>
      <c r="N79" s="98">
        <v>427.13888888888891</v>
      </c>
      <c r="O79" s="81">
        <v>0</v>
      </c>
      <c r="P79" s="82">
        <f t="shared" ref="P79:P89" si="53">SUM(N79:O79)</f>
        <v>427.13888888888891</v>
      </c>
      <c r="Q79" s="83">
        <f t="shared" si="44"/>
        <v>17.085555555555558</v>
      </c>
      <c r="R79" s="84">
        <f t="shared" si="19"/>
        <v>448.49583333333334</v>
      </c>
      <c r="S79" s="83">
        <f t="shared" si="45"/>
        <v>17.939833333333333</v>
      </c>
      <c r="T79" s="85">
        <f>437+117</f>
        <v>554</v>
      </c>
      <c r="U79" s="125">
        <v>0</v>
      </c>
      <c r="V79" s="136">
        <f t="shared" si="41"/>
        <v>554</v>
      </c>
      <c r="W79" s="78">
        <f t="shared" si="46"/>
        <v>277</v>
      </c>
      <c r="X79" s="87">
        <f t="shared" si="47"/>
        <v>15.828571428571429</v>
      </c>
      <c r="Y79" s="88">
        <f t="shared" si="48"/>
        <v>19.785714285714285</v>
      </c>
      <c r="Z79" s="89">
        <f t="shared" si="49"/>
        <v>4.0855555555555583</v>
      </c>
      <c r="AA79" s="89">
        <f t="shared" si="50"/>
        <v>2.8285714285714292</v>
      </c>
      <c r="AB79" s="89">
        <f t="shared" si="28"/>
        <v>6.7857142857142847</v>
      </c>
      <c r="AC79" s="145">
        <v>5</v>
      </c>
      <c r="AD79" s="128" t="s">
        <v>38</v>
      </c>
      <c r="AE79" s="94">
        <v>2</v>
      </c>
      <c r="AF79" s="94" t="s">
        <v>38</v>
      </c>
      <c r="AG79" s="94" t="s">
        <v>38</v>
      </c>
      <c r="AH79" s="94" t="s">
        <v>38</v>
      </c>
      <c r="AI79" s="94" t="s">
        <v>38</v>
      </c>
      <c r="AJ79" s="147" t="s">
        <v>38</v>
      </c>
      <c r="AK79" s="147" t="s">
        <v>38</v>
      </c>
      <c r="AL79" s="147" t="s">
        <v>38</v>
      </c>
      <c r="AM79" s="147" t="s">
        <v>38</v>
      </c>
      <c r="AN79" s="147" t="s">
        <v>38</v>
      </c>
      <c r="AO79" s="94"/>
      <c r="AP79" s="63"/>
    </row>
    <row r="80" spans="1:42" ht="21.75" customHeight="1" x14ac:dyDescent="0.45">
      <c r="A80" s="344"/>
      <c r="B80" s="268" t="s">
        <v>258</v>
      </c>
      <c r="C80" s="75" t="s">
        <v>38</v>
      </c>
      <c r="D80" s="75" t="s">
        <v>38</v>
      </c>
      <c r="E80" s="75" t="s">
        <v>38</v>
      </c>
      <c r="F80" s="75" t="s">
        <v>38</v>
      </c>
      <c r="G80" s="76" t="s">
        <v>38</v>
      </c>
      <c r="H80" s="76" t="s">
        <v>38</v>
      </c>
      <c r="I80" s="76">
        <v>1</v>
      </c>
      <c r="J80" s="77">
        <v>2</v>
      </c>
      <c r="K80" s="78">
        <f t="shared" si="51"/>
        <v>3</v>
      </c>
      <c r="L80" s="79">
        <v>0</v>
      </c>
      <c r="M80" s="218">
        <f t="shared" si="52"/>
        <v>3</v>
      </c>
      <c r="N80" s="98">
        <v>246.91666666666666</v>
      </c>
      <c r="O80" s="81">
        <v>0</v>
      </c>
      <c r="P80" s="82">
        <f t="shared" si="53"/>
        <v>246.91666666666666</v>
      </c>
      <c r="Q80" s="83">
        <f t="shared" si="44"/>
        <v>9.8766666666666669</v>
      </c>
      <c r="R80" s="84">
        <f t="shared" si="19"/>
        <v>259.26249999999999</v>
      </c>
      <c r="S80" s="83">
        <f t="shared" si="45"/>
        <v>10.3705</v>
      </c>
      <c r="T80" s="125">
        <v>115</v>
      </c>
      <c r="U80" s="85">
        <v>0</v>
      </c>
      <c r="V80" s="136">
        <f t="shared" si="41"/>
        <v>115</v>
      </c>
      <c r="W80" s="78">
        <f t="shared" si="46"/>
        <v>57.5</v>
      </c>
      <c r="X80" s="87">
        <f t="shared" si="47"/>
        <v>3.2857142857142856</v>
      </c>
      <c r="Y80" s="88">
        <f t="shared" si="48"/>
        <v>4.1071428571428568</v>
      </c>
      <c r="Z80" s="89">
        <f t="shared" si="49"/>
        <v>6.8766666666666669</v>
      </c>
      <c r="AA80" s="89">
        <f t="shared" si="50"/>
        <v>0.28571428571428559</v>
      </c>
      <c r="AB80" s="89">
        <f t="shared" si="28"/>
        <v>1.1071428571428568</v>
      </c>
      <c r="AC80" s="145">
        <v>5</v>
      </c>
      <c r="AD80" s="128" t="s">
        <v>38</v>
      </c>
      <c r="AE80" s="94" t="s">
        <v>38</v>
      </c>
      <c r="AF80" s="94" t="s">
        <v>38</v>
      </c>
      <c r="AG80" s="94" t="s">
        <v>38</v>
      </c>
      <c r="AH80" s="94" t="s">
        <v>38</v>
      </c>
      <c r="AI80" s="94" t="s">
        <v>38</v>
      </c>
      <c r="AJ80" s="147" t="s">
        <v>38</v>
      </c>
      <c r="AK80" s="147" t="s">
        <v>38</v>
      </c>
      <c r="AL80" s="147" t="s">
        <v>38</v>
      </c>
      <c r="AM80" s="147" t="s">
        <v>38</v>
      </c>
      <c r="AN80" s="147" t="s">
        <v>38</v>
      </c>
      <c r="AO80" s="146"/>
      <c r="AP80" s="63"/>
    </row>
    <row r="81" spans="1:42" ht="21.75" customHeight="1" x14ac:dyDescent="0.45">
      <c r="A81" s="344"/>
      <c r="B81" s="268" t="s">
        <v>259</v>
      </c>
      <c r="C81" s="75" t="s">
        <v>38</v>
      </c>
      <c r="D81" s="75" t="s">
        <v>38</v>
      </c>
      <c r="E81" s="75" t="s">
        <v>38</v>
      </c>
      <c r="F81" s="75">
        <v>1</v>
      </c>
      <c r="G81" s="76" t="s">
        <v>38</v>
      </c>
      <c r="H81" s="76" t="s">
        <v>38</v>
      </c>
      <c r="I81" s="76">
        <v>2</v>
      </c>
      <c r="J81" s="77">
        <v>2</v>
      </c>
      <c r="K81" s="78">
        <f t="shared" si="51"/>
        <v>5</v>
      </c>
      <c r="L81" s="79">
        <v>0</v>
      </c>
      <c r="M81" s="218">
        <f t="shared" si="52"/>
        <v>5</v>
      </c>
      <c r="N81" s="81">
        <v>19.472222222222221</v>
      </c>
      <c r="O81" s="81">
        <v>0</v>
      </c>
      <c r="P81" s="82">
        <f t="shared" si="53"/>
        <v>19.472222222222221</v>
      </c>
      <c r="Q81" s="83">
        <f t="shared" si="44"/>
        <v>0.77888888888888885</v>
      </c>
      <c r="R81" s="84">
        <f t="shared" si="19"/>
        <v>20.445833333333333</v>
      </c>
      <c r="S81" s="83">
        <f t="shared" si="45"/>
        <v>0.8178333333333333</v>
      </c>
      <c r="T81" s="125">
        <v>115</v>
      </c>
      <c r="U81" s="85">
        <v>0</v>
      </c>
      <c r="V81" s="136">
        <f t="shared" si="41"/>
        <v>115</v>
      </c>
      <c r="W81" s="78">
        <f t="shared" si="46"/>
        <v>57.5</v>
      </c>
      <c r="X81" s="87">
        <f t="shared" si="47"/>
        <v>3.2857142857142856</v>
      </c>
      <c r="Y81" s="88">
        <f t="shared" si="48"/>
        <v>4.1071428571428568</v>
      </c>
      <c r="Z81" s="89">
        <f t="shared" si="49"/>
        <v>-4.221111111111111</v>
      </c>
      <c r="AA81" s="89">
        <f t="shared" si="50"/>
        <v>-1.7142857142857144</v>
      </c>
      <c r="AB81" s="89">
        <f t="shared" si="28"/>
        <v>-0.89285714285714324</v>
      </c>
      <c r="AC81" s="145">
        <v>5</v>
      </c>
      <c r="AD81" s="128" t="s">
        <v>38</v>
      </c>
      <c r="AE81" s="94">
        <v>1</v>
      </c>
      <c r="AF81" s="94" t="s">
        <v>38</v>
      </c>
      <c r="AG81" s="94" t="s">
        <v>38</v>
      </c>
      <c r="AH81" s="94" t="s">
        <v>38</v>
      </c>
      <c r="AI81" s="94" t="s">
        <v>38</v>
      </c>
      <c r="AJ81" s="147" t="s">
        <v>38</v>
      </c>
      <c r="AK81" s="147" t="s">
        <v>38</v>
      </c>
      <c r="AL81" s="147" t="s">
        <v>38</v>
      </c>
      <c r="AM81" s="147" t="s">
        <v>38</v>
      </c>
      <c r="AN81" s="147" t="s">
        <v>38</v>
      </c>
      <c r="AO81" s="146"/>
      <c r="AP81" s="63"/>
    </row>
    <row r="82" spans="1:42" ht="21.75" customHeight="1" x14ac:dyDescent="0.55000000000000004">
      <c r="A82" s="177" t="s">
        <v>90</v>
      </c>
      <c r="B82" s="268" t="s">
        <v>31</v>
      </c>
      <c r="C82" s="158" t="s">
        <v>38</v>
      </c>
      <c r="D82" s="75">
        <v>2</v>
      </c>
      <c r="E82" s="75">
        <v>2</v>
      </c>
      <c r="F82" s="75">
        <v>3</v>
      </c>
      <c r="G82" s="76" t="s">
        <v>38</v>
      </c>
      <c r="H82" s="76" t="s">
        <v>38</v>
      </c>
      <c r="I82" s="76">
        <v>1</v>
      </c>
      <c r="J82" s="77">
        <v>2</v>
      </c>
      <c r="K82" s="78">
        <f t="shared" si="51"/>
        <v>10</v>
      </c>
      <c r="L82" s="79">
        <v>0</v>
      </c>
      <c r="M82" s="218">
        <f t="shared" si="52"/>
        <v>10</v>
      </c>
      <c r="N82" s="81">
        <v>319.22000000000003</v>
      </c>
      <c r="O82" s="81">
        <v>0</v>
      </c>
      <c r="P82" s="82">
        <f t="shared" si="53"/>
        <v>319.22000000000003</v>
      </c>
      <c r="Q82" s="83">
        <f t="shared" si="44"/>
        <v>12.768800000000001</v>
      </c>
      <c r="R82" s="84">
        <f t="shared" si="19"/>
        <v>335.18100000000004</v>
      </c>
      <c r="S82" s="83">
        <f t="shared" si="45"/>
        <v>13.407240000000002</v>
      </c>
      <c r="T82" s="125">
        <v>250</v>
      </c>
      <c r="U82" s="85">
        <v>0</v>
      </c>
      <c r="V82" s="136">
        <f t="shared" si="41"/>
        <v>250</v>
      </c>
      <c r="W82" s="78">
        <f t="shared" si="46"/>
        <v>125</v>
      </c>
      <c r="X82" s="87">
        <f t="shared" si="47"/>
        <v>7.1428571428571432</v>
      </c>
      <c r="Y82" s="88">
        <f t="shared" si="48"/>
        <v>8.9285714285714288</v>
      </c>
      <c r="Z82" s="89">
        <f t="shared" si="49"/>
        <v>2.7688000000000006</v>
      </c>
      <c r="AA82" s="89">
        <f t="shared" si="50"/>
        <v>-2.8571428571428568</v>
      </c>
      <c r="AB82" s="89">
        <f t="shared" si="28"/>
        <v>-1.0714285714285712</v>
      </c>
      <c r="AC82" s="145">
        <v>5</v>
      </c>
      <c r="AD82" s="128" t="s">
        <v>38</v>
      </c>
      <c r="AE82" s="94" t="s">
        <v>38</v>
      </c>
      <c r="AF82" s="94" t="s">
        <v>38</v>
      </c>
      <c r="AG82" s="94">
        <v>2</v>
      </c>
      <c r="AH82" s="94" t="s">
        <v>38</v>
      </c>
      <c r="AI82" s="94" t="s">
        <v>38</v>
      </c>
      <c r="AJ82" s="147" t="s">
        <v>38</v>
      </c>
      <c r="AK82" s="147" t="s">
        <v>38</v>
      </c>
      <c r="AL82" s="147" t="s">
        <v>38</v>
      </c>
      <c r="AM82" s="147" t="s">
        <v>38</v>
      </c>
      <c r="AN82" s="147" t="s">
        <v>38</v>
      </c>
      <c r="AO82" s="146"/>
      <c r="AP82" s="63"/>
    </row>
    <row r="83" spans="1:42" ht="21.75" customHeight="1" x14ac:dyDescent="0.55000000000000004">
      <c r="A83" s="177" t="s">
        <v>91</v>
      </c>
      <c r="B83" s="268" t="s">
        <v>31</v>
      </c>
      <c r="C83" s="158" t="s">
        <v>38</v>
      </c>
      <c r="D83" s="75" t="s">
        <v>38</v>
      </c>
      <c r="E83" s="75" t="s">
        <v>38</v>
      </c>
      <c r="F83" s="75">
        <v>2</v>
      </c>
      <c r="G83" s="76" t="s">
        <v>38</v>
      </c>
      <c r="H83" s="76" t="s">
        <v>38</v>
      </c>
      <c r="I83" s="76">
        <v>2</v>
      </c>
      <c r="J83" s="77">
        <v>6</v>
      </c>
      <c r="K83" s="78">
        <f t="shared" si="51"/>
        <v>10</v>
      </c>
      <c r="L83" s="79">
        <v>0</v>
      </c>
      <c r="M83" s="218">
        <f t="shared" si="52"/>
        <v>10</v>
      </c>
      <c r="N83" s="81">
        <v>204.64</v>
      </c>
      <c r="O83" s="81">
        <v>0</v>
      </c>
      <c r="P83" s="82">
        <f t="shared" si="53"/>
        <v>204.64</v>
      </c>
      <c r="Q83" s="83">
        <f t="shared" si="44"/>
        <v>8.1855999999999991</v>
      </c>
      <c r="R83" s="84">
        <f t="shared" si="19"/>
        <v>214.87199999999999</v>
      </c>
      <c r="S83" s="83">
        <f t="shared" si="45"/>
        <v>8.5948799999999999</v>
      </c>
      <c r="T83" s="125">
        <v>361</v>
      </c>
      <c r="U83" s="85">
        <v>0</v>
      </c>
      <c r="V83" s="136">
        <f t="shared" si="41"/>
        <v>361</v>
      </c>
      <c r="W83" s="78">
        <f t="shared" si="46"/>
        <v>180.5</v>
      </c>
      <c r="X83" s="87">
        <f t="shared" si="47"/>
        <v>10.314285714285715</v>
      </c>
      <c r="Y83" s="88">
        <f t="shared" si="48"/>
        <v>12.892857142857142</v>
      </c>
      <c r="Z83" s="89">
        <f t="shared" si="49"/>
        <v>-1.8144000000000009</v>
      </c>
      <c r="AA83" s="89">
        <f t="shared" si="50"/>
        <v>0.31428571428571495</v>
      </c>
      <c r="AB83" s="89">
        <f t="shared" si="28"/>
        <v>2.8928571428571423</v>
      </c>
      <c r="AC83" s="145">
        <v>5</v>
      </c>
      <c r="AD83" s="128" t="s">
        <v>38</v>
      </c>
      <c r="AE83" s="94" t="s">
        <v>38</v>
      </c>
      <c r="AF83" s="94" t="s">
        <v>38</v>
      </c>
      <c r="AG83" s="94" t="s">
        <v>38</v>
      </c>
      <c r="AH83" s="94" t="s">
        <v>38</v>
      </c>
      <c r="AI83" s="94" t="s">
        <v>38</v>
      </c>
      <c r="AJ83" s="147" t="s">
        <v>38</v>
      </c>
      <c r="AK83" s="147" t="s">
        <v>38</v>
      </c>
      <c r="AL83" s="147" t="s">
        <v>38</v>
      </c>
      <c r="AM83" s="147" t="s">
        <v>38</v>
      </c>
      <c r="AN83" s="147" t="s">
        <v>38</v>
      </c>
      <c r="AO83" s="146"/>
      <c r="AP83" s="63"/>
    </row>
    <row r="84" spans="1:42" ht="21.75" customHeight="1" x14ac:dyDescent="0.45">
      <c r="A84" s="345" t="s">
        <v>253</v>
      </c>
      <c r="B84" s="270" t="s">
        <v>251</v>
      </c>
      <c r="C84" s="158">
        <v>0</v>
      </c>
      <c r="D84" s="75">
        <v>0</v>
      </c>
      <c r="E84" s="75">
        <v>0</v>
      </c>
      <c r="F84" s="75">
        <v>0</v>
      </c>
      <c r="G84" s="76">
        <v>0</v>
      </c>
      <c r="H84" s="76">
        <v>0</v>
      </c>
      <c r="I84" s="76">
        <v>0</v>
      </c>
      <c r="J84" s="77">
        <v>0</v>
      </c>
      <c r="K84" s="78">
        <f>SUM(C84:J84)</f>
        <v>0</v>
      </c>
      <c r="L84" s="79">
        <v>0</v>
      </c>
      <c r="M84" s="218">
        <f>K84-L84</f>
        <v>0</v>
      </c>
      <c r="N84" s="81">
        <v>0</v>
      </c>
      <c r="O84" s="81">
        <v>0</v>
      </c>
      <c r="P84" s="82">
        <f>SUM(N84:O84)</f>
        <v>0</v>
      </c>
      <c r="Q84" s="83">
        <f>P84/25</f>
        <v>0</v>
      </c>
      <c r="R84" s="84">
        <f>(P84*0.05)+P84</f>
        <v>0</v>
      </c>
      <c r="S84" s="83">
        <f>R84/25</f>
        <v>0</v>
      </c>
      <c r="T84" s="125">
        <v>0</v>
      </c>
      <c r="U84" s="85">
        <v>0</v>
      </c>
      <c r="V84" s="136">
        <f>SUM(T84:U84)</f>
        <v>0</v>
      </c>
      <c r="W84" s="78">
        <f>V84/2</f>
        <v>0</v>
      </c>
      <c r="X84" s="87">
        <f>V84/35</f>
        <v>0</v>
      </c>
      <c r="Y84" s="88">
        <f>W84/14</f>
        <v>0</v>
      </c>
      <c r="Z84" s="89">
        <f>Q84-M84</f>
        <v>0</v>
      </c>
      <c r="AA84" s="89">
        <f>X84-M84</f>
        <v>0</v>
      </c>
      <c r="AB84" s="89">
        <f>Y84-M84</f>
        <v>0</v>
      </c>
      <c r="AC84" s="145">
        <v>3</v>
      </c>
      <c r="AD84" s="128" t="s">
        <v>38</v>
      </c>
      <c r="AE84" s="220">
        <v>0</v>
      </c>
      <c r="AF84" s="220">
        <v>0</v>
      </c>
      <c r="AG84" s="220">
        <v>0</v>
      </c>
      <c r="AH84" s="220">
        <v>0</v>
      </c>
      <c r="AI84" s="220">
        <v>0</v>
      </c>
      <c r="AJ84" s="234">
        <v>0</v>
      </c>
      <c r="AK84" s="234">
        <v>0</v>
      </c>
      <c r="AL84" s="234">
        <v>0</v>
      </c>
      <c r="AM84" s="234">
        <v>0</v>
      </c>
      <c r="AN84" s="234">
        <v>0</v>
      </c>
      <c r="AO84" s="146"/>
      <c r="AP84" s="63"/>
    </row>
    <row r="85" spans="1:42" ht="21.75" customHeight="1" x14ac:dyDescent="0.45">
      <c r="A85" s="346"/>
      <c r="B85" s="270" t="s">
        <v>252</v>
      </c>
      <c r="C85" s="158">
        <v>0</v>
      </c>
      <c r="D85" s="75">
        <v>0</v>
      </c>
      <c r="E85" s="75">
        <v>0</v>
      </c>
      <c r="F85" s="75">
        <v>0</v>
      </c>
      <c r="G85" s="76">
        <v>0</v>
      </c>
      <c r="H85" s="76">
        <v>0</v>
      </c>
      <c r="I85" s="76">
        <v>1</v>
      </c>
      <c r="J85" s="77">
        <v>4</v>
      </c>
      <c r="K85" s="78">
        <f>SUM(C85:J85)</f>
        <v>5</v>
      </c>
      <c r="L85" s="79">
        <v>0</v>
      </c>
      <c r="M85" s="218">
        <f>K85-L85</f>
        <v>5</v>
      </c>
      <c r="N85" s="81">
        <v>0</v>
      </c>
      <c r="O85" s="81">
        <v>0</v>
      </c>
      <c r="P85" s="82">
        <f>SUM(N85:O85)</f>
        <v>0</v>
      </c>
      <c r="Q85" s="83">
        <f>P85/25</f>
        <v>0</v>
      </c>
      <c r="R85" s="84">
        <f>(P85*0.05)+P85</f>
        <v>0</v>
      </c>
      <c r="S85" s="83">
        <f>R85/25</f>
        <v>0</v>
      </c>
      <c r="T85" s="125">
        <v>0</v>
      </c>
      <c r="U85" s="85">
        <v>0</v>
      </c>
      <c r="V85" s="136">
        <f>SUM(T85:U85)</f>
        <v>0</v>
      </c>
      <c r="W85" s="78">
        <f>V85/2</f>
        <v>0</v>
      </c>
      <c r="X85" s="87">
        <f>V85/35</f>
        <v>0</v>
      </c>
      <c r="Y85" s="88">
        <f>W85/14</f>
        <v>0</v>
      </c>
      <c r="Z85" s="89">
        <f>Q85-M85</f>
        <v>-5</v>
      </c>
      <c r="AA85" s="89">
        <f>X85-M85</f>
        <v>-5</v>
      </c>
      <c r="AB85" s="89">
        <f>Y85-M85</f>
        <v>-5</v>
      </c>
      <c r="AC85" s="145">
        <v>5</v>
      </c>
      <c r="AD85" s="128" t="s">
        <v>38</v>
      </c>
      <c r="AE85" s="220">
        <v>0</v>
      </c>
      <c r="AF85" s="220">
        <v>0</v>
      </c>
      <c r="AG85" s="220">
        <v>0</v>
      </c>
      <c r="AH85" s="220">
        <v>0</v>
      </c>
      <c r="AI85" s="220">
        <v>0</v>
      </c>
      <c r="AJ85" s="234">
        <v>0</v>
      </c>
      <c r="AK85" s="234">
        <v>0</v>
      </c>
      <c r="AL85" s="234">
        <v>0</v>
      </c>
      <c r="AM85" s="234">
        <v>0</v>
      </c>
      <c r="AN85" s="234">
        <v>0</v>
      </c>
      <c r="AO85" s="146"/>
      <c r="AP85" s="63"/>
    </row>
    <row r="86" spans="1:42" ht="21.75" customHeight="1" x14ac:dyDescent="0.55000000000000004">
      <c r="A86" s="177" t="s">
        <v>254</v>
      </c>
      <c r="B86" s="268" t="s">
        <v>31</v>
      </c>
      <c r="C86" s="158" t="s">
        <v>38</v>
      </c>
      <c r="D86" s="75" t="s">
        <v>38</v>
      </c>
      <c r="E86" s="75">
        <v>1</v>
      </c>
      <c r="F86" s="75" t="s">
        <v>38</v>
      </c>
      <c r="G86" s="76" t="s">
        <v>38</v>
      </c>
      <c r="H86" s="76" t="s">
        <v>38</v>
      </c>
      <c r="I86" s="76" t="s">
        <v>38</v>
      </c>
      <c r="J86" s="77">
        <v>4</v>
      </c>
      <c r="K86" s="78">
        <f t="shared" si="51"/>
        <v>5</v>
      </c>
      <c r="L86" s="79">
        <v>0</v>
      </c>
      <c r="M86" s="218">
        <f t="shared" si="52"/>
        <v>5</v>
      </c>
      <c r="N86" s="81">
        <v>149.56</v>
      </c>
      <c r="O86" s="81">
        <v>0</v>
      </c>
      <c r="P86" s="82">
        <f t="shared" si="53"/>
        <v>149.56</v>
      </c>
      <c r="Q86" s="83">
        <f t="shared" si="44"/>
        <v>5.9824000000000002</v>
      </c>
      <c r="R86" s="84">
        <f t="shared" ref="R86:R105" si="54">(P86*0.05)+P86</f>
        <v>157.03800000000001</v>
      </c>
      <c r="S86" s="83">
        <f t="shared" si="45"/>
        <v>6.2815200000000004</v>
      </c>
      <c r="T86" s="125">
        <v>115</v>
      </c>
      <c r="U86" s="85">
        <v>0</v>
      </c>
      <c r="V86" s="136">
        <f t="shared" si="41"/>
        <v>115</v>
      </c>
      <c r="W86" s="78">
        <f t="shared" si="46"/>
        <v>57.5</v>
      </c>
      <c r="X86" s="87">
        <f t="shared" si="47"/>
        <v>3.2857142857142856</v>
      </c>
      <c r="Y86" s="88">
        <f t="shared" si="48"/>
        <v>4.1071428571428568</v>
      </c>
      <c r="Z86" s="89">
        <f t="shared" si="49"/>
        <v>0.98240000000000016</v>
      </c>
      <c r="AA86" s="89">
        <f t="shared" si="50"/>
        <v>-1.7142857142857144</v>
      </c>
      <c r="AB86" s="89">
        <f t="shared" si="28"/>
        <v>-0.89285714285714324</v>
      </c>
      <c r="AC86" s="145">
        <v>5</v>
      </c>
      <c r="AD86" s="128" t="s">
        <v>38</v>
      </c>
      <c r="AE86" s="94" t="s">
        <v>38</v>
      </c>
      <c r="AF86" s="94" t="s">
        <v>38</v>
      </c>
      <c r="AG86" s="94" t="s">
        <v>38</v>
      </c>
      <c r="AH86" s="94" t="s">
        <v>38</v>
      </c>
      <c r="AI86" s="94" t="s">
        <v>38</v>
      </c>
      <c r="AJ86" s="147" t="s">
        <v>38</v>
      </c>
      <c r="AK86" s="147" t="s">
        <v>38</v>
      </c>
      <c r="AL86" s="147" t="s">
        <v>38</v>
      </c>
      <c r="AM86" s="147" t="s">
        <v>38</v>
      </c>
      <c r="AN86" s="147" t="s">
        <v>38</v>
      </c>
      <c r="AO86" s="146"/>
      <c r="AP86" s="63"/>
    </row>
    <row r="87" spans="1:42" ht="21.75" customHeight="1" x14ac:dyDescent="0.55000000000000004">
      <c r="A87" s="177" t="s">
        <v>255</v>
      </c>
      <c r="B87" s="268" t="s">
        <v>30</v>
      </c>
      <c r="C87" s="158" t="s">
        <v>38</v>
      </c>
      <c r="D87" s="75">
        <v>3</v>
      </c>
      <c r="E87" s="75" t="s">
        <v>38</v>
      </c>
      <c r="F87" s="75">
        <v>1</v>
      </c>
      <c r="G87" s="76" t="s">
        <v>38</v>
      </c>
      <c r="H87" s="76">
        <v>1</v>
      </c>
      <c r="I87" s="76">
        <v>1</v>
      </c>
      <c r="J87" s="77">
        <v>2</v>
      </c>
      <c r="K87" s="78">
        <f t="shared" si="51"/>
        <v>8</v>
      </c>
      <c r="L87" s="79">
        <v>0</v>
      </c>
      <c r="M87" s="218">
        <f t="shared" si="52"/>
        <v>8</v>
      </c>
      <c r="N87" s="81">
        <v>54.694444444444443</v>
      </c>
      <c r="O87" s="81">
        <v>0</v>
      </c>
      <c r="P87" s="82">
        <f t="shared" si="53"/>
        <v>54.694444444444443</v>
      </c>
      <c r="Q87" s="83">
        <f t="shared" si="44"/>
        <v>2.1877777777777778</v>
      </c>
      <c r="R87" s="84">
        <f t="shared" si="54"/>
        <v>57.429166666666667</v>
      </c>
      <c r="S87" s="83">
        <f t="shared" si="45"/>
        <v>2.2971666666666666</v>
      </c>
      <c r="T87" s="125">
        <v>203</v>
      </c>
      <c r="U87" s="85">
        <v>0</v>
      </c>
      <c r="V87" s="136">
        <f t="shared" si="41"/>
        <v>203</v>
      </c>
      <c r="W87" s="78">
        <f t="shared" si="46"/>
        <v>101.5</v>
      </c>
      <c r="X87" s="87">
        <f t="shared" si="47"/>
        <v>5.8</v>
      </c>
      <c r="Y87" s="88">
        <f t="shared" si="48"/>
        <v>7.25</v>
      </c>
      <c r="Z87" s="89">
        <f t="shared" si="49"/>
        <v>-5.8122222222222222</v>
      </c>
      <c r="AA87" s="89">
        <f t="shared" si="50"/>
        <v>-2.2000000000000002</v>
      </c>
      <c r="AB87" s="89">
        <f t="shared" si="28"/>
        <v>-0.75</v>
      </c>
      <c r="AC87" s="145">
        <v>5</v>
      </c>
      <c r="AD87" s="128" t="s">
        <v>38</v>
      </c>
      <c r="AE87" s="94">
        <v>1</v>
      </c>
      <c r="AF87" s="94" t="s">
        <v>38</v>
      </c>
      <c r="AG87" s="94" t="s">
        <v>38</v>
      </c>
      <c r="AH87" s="94" t="s">
        <v>38</v>
      </c>
      <c r="AI87" s="94" t="s">
        <v>38</v>
      </c>
      <c r="AJ87" s="147" t="s">
        <v>38</v>
      </c>
      <c r="AK87" s="147" t="s">
        <v>38</v>
      </c>
      <c r="AL87" s="147" t="s">
        <v>38</v>
      </c>
      <c r="AM87" s="147" t="s">
        <v>38</v>
      </c>
      <c r="AN87" s="147" t="s">
        <v>38</v>
      </c>
      <c r="AO87" s="146"/>
      <c r="AP87" s="63"/>
    </row>
    <row r="88" spans="1:42" ht="21.75" customHeight="1" x14ac:dyDescent="0.45">
      <c r="A88" s="344" t="s">
        <v>256</v>
      </c>
      <c r="B88" s="268" t="s">
        <v>260</v>
      </c>
      <c r="C88" s="158" t="s">
        <v>38</v>
      </c>
      <c r="D88" s="75" t="s">
        <v>38</v>
      </c>
      <c r="E88" s="75">
        <v>1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4</v>
      </c>
      <c r="K88" s="78">
        <f t="shared" si="51"/>
        <v>6</v>
      </c>
      <c r="L88" s="79">
        <v>0</v>
      </c>
      <c r="M88" s="218">
        <f t="shared" si="52"/>
        <v>6</v>
      </c>
      <c r="N88" s="81">
        <v>273.38888888888903</v>
      </c>
      <c r="O88" s="81">
        <v>0</v>
      </c>
      <c r="P88" s="82">
        <f t="shared" si="53"/>
        <v>273.38888888888903</v>
      </c>
      <c r="Q88" s="83">
        <f t="shared" si="44"/>
        <v>10.935555555555561</v>
      </c>
      <c r="R88" s="84">
        <f t="shared" si="54"/>
        <v>287.05833333333351</v>
      </c>
      <c r="S88" s="83">
        <f t="shared" si="45"/>
        <v>11.48233333333334</v>
      </c>
      <c r="T88" s="125">
        <v>176</v>
      </c>
      <c r="U88" s="85">
        <v>0</v>
      </c>
      <c r="V88" s="136">
        <f t="shared" si="41"/>
        <v>176</v>
      </c>
      <c r="W88" s="78">
        <f t="shared" si="46"/>
        <v>88</v>
      </c>
      <c r="X88" s="87">
        <f t="shared" si="47"/>
        <v>5.0285714285714285</v>
      </c>
      <c r="Y88" s="88">
        <f t="shared" si="48"/>
        <v>6.2857142857142856</v>
      </c>
      <c r="Z88" s="89">
        <f t="shared" si="49"/>
        <v>4.9355555555555615</v>
      </c>
      <c r="AA88" s="89">
        <f t="shared" si="50"/>
        <v>-0.97142857142857153</v>
      </c>
      <c r="AB88" s="89">
        <f t="shared" si="28"/>
        <v>0.28571428571428559</v>
      </c>
      <c r="AC88" s="145">
        <v>5</v>
      </c>
      <c r="AD88" s="128" t="s">
        <v>38</v>
      </c>
      <c r="AE88" s="94" t="s">
        <v>38</v>
      </c>
      <c r="AF88" s="94" t="s">
        <v>38</v>
      </c>
      <c r="AG88" s="94" t="s">
        <v>38</v>
      </c>
      <c r="AH88" s="94" t="s">
        <v>38</v>
      </c>
      <c r="AI88" s="94" t="s">
        <v>38</v>
      </c>
      <c r="AJ88" s="147" t="s">
        <v>38</v>
      </c>
      <c r="AK88" s="147" t="s">
        <v>38</v>
      </c>
      <c r="AL88" s="147" t="s">
        <v>38</v>
      </c>
      <c r="AM88" s="147" t="s">
        <v>38</v>
      </c>
      <c r="AN88" s="147" t="s">
        <v>38</v>
      </c>
      <c r="AO88" s="146"/>
      <c r="AP88" s="63"/>
    </row>
    <row r="89" spans="1:42" ht="21.75" customHeight="1" x14ac:dyDescent="0.45">
      <c r="A89" s="344"/>
      <c r="B89" s="268" t="s">
        <v>261</v>
      </c>
      <c r="C89" s="158" t="s">
        <v>38</v>
      </c>
      <c r="D89" s="75" t="s">
        <v>38</v>
      </c>
      <c r="E89" s="75">
        <v>2</v>
      </c>
      <c r="F89" s="75">
        <v>1</v>
      </c>
      <c r="G89" s="76" t="s">
        <v>38</v>
      </c>
      <c r="H89" s="76" t="s">
        <v>38</v>
      </c>
      <c r="I89" s="76" t="s">
        <v>38</v>
      </c>
      <c r="J89" s="77">
        <v>3</v>
      </c>
      <c r="K89" s="78">
        <f t="shared" si="51"/>
        <v>6</v>
      </c>
      <c r="L89" s="79">
        <v>0</v>
      </c>
      <c r="M89" s="218">
        <f t="shared" si="52"/>
        <v>6</v>
      </c>
      <c r="N89" s="81">
        <v>194.19444444444446</v>
      </c>
      <c r="O89" s="81">
        <v>0</v>
      </c>
      <c r="P89" s="82">
        <f t="shared" si="53"/>
        <v>194.19444444444446</v>
      </c>
      <c r="Q89" s="83">
        <f t="shared" si="44"/>
        <v>7.7677777777777779</v>
      </c>
      <c r="R89" s="84">
        <f t="shared" si="54"/>
        <v>203.90416666666667</v>
      </c>
      <c r="S89" s="83">
        <f t="shared" si="45"/>
        <v>8.1561666666666675</v>
      </c>
      <c r="T89" s="125">
        <f>90+94</f>
        <v>184</v>
      </c>
      <c r="U89" s="85">
        <v>0</v>
      </c>
      <c r="V89" s="136">
        <f t="shared" si="41"/>
        <v>184</v>
      </c>
      <c r="W89" s="78">
        <f t="shared" si="46"/>
        <v>92</v>
      </c>
      <c r="X89" s="87">
        <f t="shared" si="47"/>
        <v>5.2571428571428571</v>
      </c>
      <c r="Y89" s="88">
        <f t="shared" si="48"/>
        <v>6.5714285714285712</v>
      </c>
      <c r="Z89" s="89">
        <f t="shared" si="49"/>
        <v>1.7677777777777779</v>
      </c>
      <c r="AA89" s="89">
        <f t="shared" si="50"/>
        <v>-0.74285714285714288</v>
      </c>
      <c r="AB89" s="89">
        <f t="shared" si="28"/>
        <v>0.57142857142857117</v>
      </c>
      <c r="AC89" s="145">
        <v>5</v>
      </c>
      <c r="AD89" s="128" t="s">
        <v>38</v>
      </c>
      <c r="AE89" s="94" t="s">
        <v>38</v>
      </c>
      <c r="AF89" s="94" t="s">
        <v>38</v>
      </c>
      <c r="AG89" s="94" t="s">
        <v>38</v>
      </c>
      <c r="AH89" s="94" t="s">
        <v>38</v>
      </c>
      <c r="AI89" s="94" t="s">
        <v>38</v>
      </c>
      <c r="AJ89" s="147" t="s">
        <v>38</v>
      </c>
      <c r="AK89" s="147" t="s">
        <v>38</v>
      </c>
      <c r="AL89" s="147" t="s">
        <v>38</v>
      </c>
      <c r="AM89" s="147" t="s">
        <v>38</v>
      </c>
      <c r="AN89" s="147" t="s">
        <v>38</v>
      </c>
      <c r="AO89" s="146"/>
      <c r="AP89" s="63"/>
    </row>
    <row r="90" spans="1:42" s="18" customFormat="1" ht="21.75" customHeight="1" x14ac:dyDescent="0.55000000000000004">
      <c r="A90" s="183" t="s">
        <v>95</v>
      </c>
      <c r="B90" s="271"/>
      <c r="C90" s="149">
        <f>SUM(C91:C99)</f>
        <v>0</v>
      </c>
      <c r="D90" s="149">
        <f t="shared" ref="D90:L90" si="55">SUM(D91:D99)</f>
        <v>0</v>
      </c>
      <c r="E90" s="149">
        <f t="shared" si="55"/>
        <v>5</v>
      </c>
      <c r="F90" s="149">
        <f>SUM(F91:F99)</f>
        <v>6</v>
      </c>
      <c r="G90" s="149">
        <f t="shared" si="55"/>
        <v>0</v>
      </c>
      <c r="H90" s="149">
        <f t="shared" si="55"/>
        <v>0</v>
      </c>
      <c r="I90" s="149">
        <f t="shared" si="55"/>
        <v>16</v>
      </c>
      <c r="J90" s="149">
        <f t="shared" si="55"/>
        <v>32</v>
      </c>
      <c r="K90" s="150">
        <f t="shared" si="55"/>
        <v>59</v>
      </c>
      <c r="L90" s="150">
        <f t="shared" si="55"/>
        <v>4</v>
      </c>
      <c r="M90" s="150">
        <f>SUM(M91:M99)</f>
        <v>55</v>
      </c>
      <c r="N90" s="150">
        <f t="shared" ref="N90:AM90" si="56">SUM(N91:N99)</f>
        <v>350.05555555555554</v>
      </c>
      <c r="O90" s="150">
        <f t="shared" si="56"/>
        <v>0</v>
      </c>
      <c r="P90" s="150">
        <f t="shared" si="56"/>
        <v>350.05555555555554</v>
      </c>
      <c r="Q90" s="150">
        <f t="shared" si="56"/>
        <v>20.731944444444444</v>
      </c>
      <c r="R90" s="150">
        <f t="shared" si="56"/>
        <v>402.55833333333334</v>
      </c>
      <c r="S90" s="150">
        <f t="shared" si="56"/>
        <v>23.518541666666664</v>
      </c>
      <c r="T90" s="252">
        <f t="shared" si="56"/>
        <v>1626</v>
      </c>
      <c r="U90" s="252">
        <f t="shared" si="56"/>
        <v>0</v>
      </c>
      <c r="V90" s="252">
        <f t="shared" si="56"/>
        <v>1626</v>
      </c>
      <c r="W90" s="252">
        <f t="shared" si="56"/>
        <v>813</v>
      </c>
      <c r="X90" s="150">
        <f t="shared" si="56"/>
        <v>46.457142857142856</v>
      </c>
      <c r="Y90" s="150">
        <f t="shared" si="56"/>
        <v>58.071428571428569</v>
      </c>
      <c r="Z90" s="151">
        <f t="shared" si="56"/>
        <v>-34.268055555555556</v>
      </c>
      <c r="AA90" s="151">
        <f t="shared" si="56"/>
        <v>-8.5428571428571427</v>
      </c>
      <c r="AB90" s="150">
        <f t="shared" si="56"/>
        <v>3.071428571428573</v>
      </c>
      <c r="AC90" s="150">
        <f t="shared" si="56"/>
        <v>45</v>
      </c>
      <c r="AD90" s="150">
        <f t="shared" si="56"/>
        <v>0</v>
      </c>
      <c r="AE90" s="150">
        <f t="shared" si="56"/>
        <v>0</v>
      </c>
      <c r="AF90" s="150">
        <f t="shared" si="56"/>
        <v>0</v>
      </c>
      <c r="AG90" s="150">
        <f t="shared" si="56"/>
        <v>0</v>
      </c>
      <c r="AH90" s="150">
        <f t="shared" si="56"/>
        <v>0</v>
      </c>
      <c r="AI90" s="150">
        <f t="shared" si="56"/>
        <v>0</v>
      </c>
      <c r="AJ90" s="150">
        <f t="shared" si="56"/>
        <v>0</v>
      </c>
      <c r="AK90" s="150">
        <f t="shared" si="56"/>
        <v>0</v>
      </c>
      <c r="AL90" s="150">
        <f t="shared" si="56"/>
        <v>0</v>
      </c>
      <c r="AM90" s="150">
        <f t="shared" si="56"/>
        <v>0</v>
      </c>
      <c r="AN90" s="155">
        <v>0</v>
      </c>
      <c r="AO90" s="156"/>
      <c r="AP90" s="72"/>
    </row>
    <row r="91" spans="1:42" ht="21.75" customHeight="1" x14ac:dyDescent="0.55000000000000004">
      <c r="A91" s="177" t="s">
        <v>216</v>
      </c>
      <c r="B91" s="268" t="s">
        <v>34</v>
      </c>
      <c r="C91" s="158" t="s">
        <v>38</v>
      </c>
      <c r="D91" s="75" t="s">
        <v>38</v>
      </c>
      <c r="E91" s="75" t="s">
        <v>38</v>
      </c>
      <c r="F91" s="75">
        <v>1</v>
      </c>
      <c r="G91" s="76" t="s">
        <v>38</v>
      </c>
      <c r="H91" s="76" t="s">
        <v>38</v>
      </c>
      <c r="I91" s="76">
        <v>2</v>
      </c>
      <c r="J91" s="77">
        <v>4</v>
      </c>
      <c r="K91" s="78">
        <f t="shared" ref="K91:K99" si="57">SUM(C91:J91)</f>
        <v>7</v>
      </c>
      <c r="L91" s="79">
        <v>2</v>
      </c>
      <c r="M91" s="218">
        <f t="shared" ref="M91:M99" si="58">K91-L91</f>
        <v>5</v>
      </c>
      <c r="N91" s="81">
        <v>7.83</v>
      </c>
      <c r="O91" s="81">
        <v>0</v>
      </c>
      <c r="P91" s="82">
        <f t="shared" ref="P91:P96" si="59">SUM(N91:O91)</f>
        <v>7.83</v>
      </c>
      <c r="Q91" s="83">
        <f>P91/20</f>
        <v>0.39150000000000001</v>
      </c>
      <c r="R91" s="84">
        <f t="shared" si="54"/>
        <v>8.2215000000000007</v>
      </c>
      <c r="S91" s="83">
        <f>R91/20</f>
        <v>0.41107500000000002</v>
      </c>
      <c r="T91" s="125">
        <v>187</v>
      </c>
      <c r="U91" s="85">
        <v>0</v>
      </c>
      <c r="V91" s="85">
        <f t="shared" ref="V91:V99" si="60">SUM(T91:U91)</f>
        <v>187</v>
      </c>
      <c r="W91" s="78">
        <f t="shared" si="46"/>
        <v>93.5</v>
      </c>
      <c r="X91" s="87">
        <f t="shared" si="47"/>
        <v>5.3428571428571425</v>
      </c>
      <c r="Y91" s="88">
        <f t="shared" si="48"/>
        <v>6.6785714285714288</v>
      </c>
      <c r="Z91" s="89">
        <f t="shared" si="49"/>
        <v>-4.6085000000000003</v>
      </c>
      <c r="AA91" s="89">
        <f t="shared" si="50"/>
        <v>0.34285714285714253</v>
      </c>
      <c r="AB91" s="89">
        <f t="shared" si="28"/>
        <v>1.6785714285714288</v>
      </c>
      <c r="AC91" s="145">
        <v>5</v>
      </c>
      <c r="AD91" s="128" t="s">
        <v>38</v>
      </c>
      <c r="AE91" s="94" t="s">
        <v>38</v>
      </c>
      <c r="AF91" s="94" t="s">
        <v>38</v>
      </c>
      <c r="AG91" s="94" t="s">
        <v>38</v>
      </c>
      <c r="AH91" s="94" t="s">
        <v>38</v>
      </c>
      <c r="AI91" s="94" t="s">
        <v>38</v>
      </c>
      <c r="AJ91" s="147" t="s">
        <v>38</v>
      </c>
      <c r="AK91" s="147" t="s">
        <v>38</v>
      </c>
      <c r="AL91" s="147" t="s">
        <v>38</v>
      </c>
      <c r="AM91" s="147" t="s">
        <v>38</v>
      </c>
      <c r="AN91" s="147" t="s">
        <v>38</v>
      </c>
      <c r="AO91" s="146"/>
      <c r="AP91" s="63"/>
    </row>
    <row r="92" spans="1:42" ht="21.75" customHeight="1" x14ac:dyDescent="0.2">
      <c r="A92" s="127" t="s">
        <v>217</v>
      </c>
      <c r="B92" s="272" t="s">
        <v>36</v>
      </c>
      <c r="C92" s="158" t="s">
        <v>38</v>
      </c>
      <c r="D92" s="75" t="s">
        <v>38</v>
      </c>
      <c r="E92" s="75">
        <v>1</v>
      </c>
      <c r="F92" s="75" t="s">
        <v>38</v>
      </c>
      <c r="G92" s="76" t="s">
        <v>38</v>
      </c>
      <c r="H92" s="76" t="s">
        <v>38</v>
      </c>
      <c r="I92" s="76">
        <v>4</v>
      </c>
      <c r="J92" s="77">
        <v>3</v>
      </c>
      <c r="K92" s="78">
        <f t="shared" si="57"/>
        <v>8</v>
      </c>
      <c r="L92" s="79">
        <v>1</v>
      </c>
      <c r="M92" s="218">
        <f t="shared" si="58"/>
        <v>7</v>
      </c>
      <c r="N92" s="98">
        <v>43.055555555555557</v>
      </c>
      <c r="O92" s="98">
        <v>0</v>
      </c>
      <c r="P92" s="82">
        <f t="shared" si="59"/>
        <v>43.055555555555557</v>
      </c>
      <c r="Q92" s="83">
        <f>P92/8</f>
        <v>5.3819444444444446</v>
      </c>
      <c r="R92" s="84">
        <f t="shared" si="54"/>
        <v>45.208333333333336</v>
      </c>
      <c r="S92" s="83">
        <f>R92/8</f>
        <v>5.651041666666667</v>
      </c>
      <c r="T92" s="125">
        <v>326</v>
      </c>
      <c r="U92" s="85">
        <v>0</v>
      </c>
      <c r="V92" s="85">
        <f t="shared" si="60"/>
        <v>326</v>
      </c>
      <c r="W92" s="78">
        <f t="shared" si="46"/>
        <v>163</v>
      </c>
      <c r="X92" s="87">
        <f t="shared" si="47"/>
        <v>9.3142857142857149</v>
      </c>
      <c r="Y92" s="88">
        <f t="shared" si="48"/>
        <v>11.642857142857142</v>
      </c>
      <c r="Z92" s="89">
        <f t="shared" si="49"/>
        <v>-1.6180555555555554</v>
      </c>
      <c r="AA92" s="89">
        <f t="shared" si="50"/>
        <v>2.3142857142857149</v>
      </c>
      <c r="AB92" s="89">
        <f t="shared" si="28"/>
        <v>4.6428571428571423</v>
      </c>
      <c r="AC92" s="145">
        <v>5</v>
      </c>
      <c r="AD92" s="128" t="s">
        <v>38</v>
      </c>
      <c r="AE92" s="94" t="s">
        <v>38</v>
      </c>
      <c r="AF92" s="94" t="s">
        <v>38</v>
      </c>
      <c r="AG92" s="94" t="s">
        <v>38</v>
      </c>
      <c r="AH92" s="94" t="s">
        <v>38</v>
      </c>
      <c r="AI92" s="94" t="s">
        <v>38</v>
      </c>
      <c r="AJ92" s="147" t="s">
        <v>38</v>
      </c>
      <c r="AK92" s="147" t="s">
        <v>38</v>
      </c>
      <c r="AL92" s="147" t="s">
        <v>38</v>
      </c>
      <c r="AM92" s="147" t="s">
        <v>38</v>
      </c>
      <c r="AN92" s="147" t="s">
        <v>38</v>
      </c>
      <c r="AO92" s="146"/>
      <c r="AP92" s="63"/>
    </row>
    <row r="93" spans="1:42" ht="21.75" customHeight="1" x14ac:dyDescent="0.2">
      <c r="A93" s="185" t="s">
        <v>218</v>
      </c>
      <c r="B93" s="272" t="s">
        <v>124</v>
      </c>
      <c r="C93" s="158" t="s">
        <v>38</v>
      </c>
      <c r="D93" s="75" t="s">
        <v>38</v>
      </c>
      <c r="E93" s="75">
        <v>1</v>
      </c>
      <c r="F93" s="75" t="s">
        <v>38</v>
      </c>
      <c r="G93" s="76" t="s">
        <v>38</v>
      </c>
      <c r="H93" s="76" t="s">
        <v>38</v>
      </c>
      <c r="I93" s="76" t="s">
        <v>38</v>
      </c>
      <c r="J93" s="77">
        <v>5</v>
      </c>
      <c r="K93" s="78">
        <f t="shared" si="57"/>
        <v>6</v>
      </c>
      <c r="L93" s="79">
        <v>0</v>
      </c>
      <c r="M93" s="218">
        <f t="shared" si="58"/>
        <v>6</v>
      </c>
      <c r="N93" s="98">
        <v>17.138888888888889</v>
      </c>
      <c r="O93" s="98">
        <v>0</v>
      </c>
      <c r="P93" s="82">
        <f t="shared" si="59"/>
        <v>17.138888888888889</v>
      </c>
      <c r="Q93" s="83">
        <f t="shared" ref="Q93:Q98" si="61">P93/20</f>
        <v>0.85694444444444451</v>
      </c>
      <c r="R93" s="84">
        <f t="shared" si="54"/>
        <v>17.995833333333334</v>
      </c>
      <c r="S93" s="83">
        <f t="shared" ref="S93:S99" si="62">R93/20</f>
        <v>0.89979166666666666</v>
      </c>
      <c r="T93" s="125">
        <v>114</v>
      </c>
      <c r="U93" s="85">
        <v>0</v>
      </c>
      <c r="V93" s="85">
        <f t="shared" si="60"/>
        <v>114</v>
      </c>
      <c r="W93" s="78">
        <f t="shared" si="46"/>
        <v>57</v>
      </c>
      <c r="X93" s="87">
        <f t="shared" si="47"/>
        <v>3.2571428571428571</v>
      </c>
      <c r="Y93" s="88">
        <f t="shared" si="48"/>
        <v>4.0714285714285712</v>
      </c>
      <c r="Z93" s="89">
        <f t="shared" si="49"/>
        <v>-5.1430555555555557</v>
      </c>
      <c r="AA93" s="89">
        <f t="shared" si="50"/>
        <v>-2.7428571428571429</v>
      </c>
      <c r="AB93" s="89">
        <f t="shared" si="28"/>
        <v>-1.9285714285714288</v>
      </c>
      <c r="AC93" s="145">
        <v>5</v>
      </c>
      <c r="AD93" s="128" t="s">
        <v>38</v>
      </c>
      <c r="AE93" s="94" t="s">
        <v>38</v>
      </c>
      <c r="AF93" s="94" t="s">
        <v>38</v>
      </c>
      <c r="AG93" s="94" t="s">
        <v>38</v>
      </c>
      <c r="AH93" s="94" t="s">
        <v>38</v>
      </c>
      <c r="AI93" s="94" t="s">
        <v>38</v>
      </c>
      <c r="AJ93" s="147" t="s">
        <v>38</v>
      </c>
      <c r="AK93" s="147" t="s">
        <v>38</v>
      </c>
      <c r="AL93" s="147" t="s">
        <v>38</v>
      </c>
      <c r="AM93" s="147" t="s">
        <v>38</v>
      </c>
      <c r="AN93" s="147" t="s">
        <v>38</v>
      </c>
      <c r="AO93" s="146"/>
      <c r="AP93" s="63"/>
    </row>
    <row r="94" spans="1:42" ht="21.75" customHeight="1" x14ac:dyDescent="0.2">
      <c r="A94" s="185" t="s">
        <v>219</v>
      </c>
      <c r="B94" s="272" t="s">
        <v>124</v>
      </c>
      <c r="C94" s="158" t="s">
        <v>38</v>
      </c>
      <c r="D94" s="158" t="s">
        <v>38</v>
      </c>
      <c r="E94" s="158" t="s">
        <v>38</v>
      </c>
      <c r="F94" s="158">
        <v>1</v>
      </c>
      <c r="G94" s="76" t="s">
        <v>38</v>
      </c>
      <c r="H94" s="76" t="s">
        <v>38</v>
      </c>
      <c r="I94" s="76">
        <v>3</v>
      </c>
      <c r="J94" s="77">
        <v>3</v>
      </c>
      <c r="K94" s="78">
        <f t="shared" si="57"/>
        <v>7</v>
      </c>
      <c r="L94" s="79">
        <v>1</v>
      </c>
      <c r="M94" s="218">
        <f t="shared" si="58"/>
        <v>6</v>
      </c>
      <c r="N94" s="98">
        <f>0.89+36.64</f>
        <v>37.53</v>
      </c>
      <c r="O94" s="98">
        <v>0</v>
      </c>
      <c r="P94" s="82">
        <f t="shared" si="59"/>
        <v>37.53</v>
      </c>
      <c r="Q94" s="83">
        <f t="shared" si="61"/>
        <v>1.8765000000000001</v>
      </c>
      <c r="R94" s="84">
        <f t="shared" si="54"/>
        <v>39.406500000000001</v>
      </c>
      <c r="S94" s="83">
        <f t="shared" si="62"/>
        <v>1.9703250000000001</v>
      </c>
      <c r="T94" s="186">
        <v>112</v>
      </c>
      <c r="U94" s="85">
        <v>0</v>
      </c>
      <c r="V94" s="85">
        <f t="shared" si="60"/>
        <v>112</v>
      </c>
      <c r="W94" s="78">
        <f t="shared" si="46"/>
        <v>56</v>
      </c>
      <c r="X94" s="87">
        <f t="shared" si="47"/>
        <v>3.2</v>
      </c>
      <c r="Y94" s="88">
        <f t="shared" si="48"/>
        <v>4</v>
      </c>
      <c r="Z94" s="89">
        <f t="shared" si="49"/>
        <v>-4.1234999999999999</v>
      </c>
      <c r="AA94" s="89">
        <f t="shared" si="50"/>
        <v>-2.8</v>
      </c>
      <c r="AB94" s="89">
        <f t="shared" si="28"/>
        <v>-2</v>
      </c>
      <c r="AC94" s="145">
        <v>5</v>
      </c>
      <c r="AD94" s="128" t="s">
        <v>38</v>
      </c>
      <c r="AE94" s="94" t="s">
        <v>38</v>
      </c>
      <c r="AF94" s="94" t="s">
        <v>38</v>
      </c>
      <c r="AG94" s="94" t="s">
        <v>38</v>
      </c>
      <c r="AH94" s="94" t="s">
        <v>38</v>
      </c>
      <c r="AI94" s="94" t="s">
        <v>38</v>
      </c>
      <c r="AJ94" s="147" t="s">
        <v>38</v>
      </c>
      <c r="AK94" s="147" t="s">
        <v>38</v>
      </c>
      <c r="AL94" s="147" t="s">
        <v>38</v>
      </c>
      <c r="AM94" s="147" t="s">
        <v>38</v>
      </c>
      <c r="AN94" s="147" t="s">
        <v>38</v>
      </c>
      <c r="AO94" s="146"/>
      <c r="AP94" s="63"/>
    </row>
    <row r="95" spans="1:42" ht="21.75" customHeight="1" x14ac:dyDescent="0.2">
      <c r="A95" s="127" t="s">
        <v>220</v>
      </c>
      <c r="B95" s="272" t="s">
        <v>37</v>
      </c>
      <c r="C95" s="158" t="s">
        <v>38</v>
      </c>
      <c r="D95" s="75" t="s">
        <v>38</v>
      </c>
      <c r="E95" s="75">
        <v>1</v>
      </c>
      <c r="F95" s="75">
        <v>2</v>
      </c>
      <c r="G95" s="76" t="s">
        <v>38</v>
      </c>
      <c r="H95" s="76" t="s">
        <v>38</v>
      </c>
      <c r="I95" s="76">
        <v>1</v>
      </c>
      <c r="J95" s="77">
        <v>3</v>
      </c>
      <c r="K95" s="78">
        <f t="shared" si="57"/>
        <v>7</v>
      </c>
      <c r="L95" s="79">
        <v>0</v>
      </c>
      <c r="M95" s="218">
        <f t="shared" si="58"/>
        <v>7</v>
      </c>
      <c r="N95" s="98">
        <v>59.277777777777779</v>
      </c>
      <c r="O95" s="98">
        <v>0</v>
      </c>
      <c r="P95" s="82">
        <f t="shared" si="59"/>
        <v>59.277777777777779</v>
      </c>
      <c r="Q95" s="83">
        <f t="shared" si="61"/>
        <v>2.963888888888889</v>
      </c>
      <c r="R95" s="84">
        <f t="shared" si="54"/>
        <v>62.241666666666667</v>
      </c>
      <c r="S95" s="83">
        <f t="shared" si="62"/>
        <v>3.1120833333333335</v>
      </c>
      <c r="T95" s="125">
        <v>262</v>
      </c>
      <c r="U95" s="85">
        <v>0</v>
      </c>
      <c r="V95" s="85">
        <f t="shared" si="60"/>
        <v>262</v>
      </c>
      <c r="W95" s="78">
        <f t="shared" si="46"/>
        <v>131</v>
      </c>
      <c r="X95" s="87">
        <f t="shared" si="47"/>
        <v>7.4857142857142858</v>
      </c>
      <c r="Y95" s="88">
        <f t="shared" si="48"/>
        <v>9.3571428571428577</v>
      </c>
      <c r="Z95" s="89">
        <f t="shared" si="49"/>
        <v>-4.0361111111111114</v>
      </c>
      <c r="AA95" s="89">
        <f t="shared" si="50"/>
        <v>0.48571428571428577</v>
      </c>
      <c r="AB95" s="89">
        <f t="shared" si="28"/>
        <v>2.3571428571428577</v>
      </c>
      <c r="AC95" s="145">
        <v>5</v>
      </c>
      <c r="AD95" s="128" t="s">
        <v>38</v>
      </c>
      <c r="AE95" s="94" t="s">
        <v>38</v>
      </c>
      <c r="AF95" s="94" t="s">
        <v>38</v>
      </c>
      <c r="AG95" s="94" t="s">
        <v>38</v>
      </c>
      <c r="AH95" s="94" t="s">
        <v>38</v>
      </c>
      <c r="AI95" s="94" t="s">
        <v>38</v>
      </c>
      <c r="AJ95" s="147" t="s">
        <v>38</v>
      </c>
      <c r="AK95" s="147" t="s">
        <v>38</v>
      </c>
      <c r="AL95" s="147" t="s">
        <v>38</v>
      </c>
      <c r="AM95" s="147" t="s">
        <v>38</v>
      </c>
      <c r="AN95" s="147" t="s">
        <v>38</v>
      </c>
      <c r="AO95" s="146"/>
      <c r="AP95" s="63"/>
    </row>
    <row r="96" spans="1:42" ht="21.75" customHeight="1" x14ac:dyDescent="0.2">
      <c r="A96" s="127" t="s">
        <v>221</v>
      </c>
      <c r="B96" s="272" t="s">
        <v>34</v>
      </c>
      <c r="C96" s="158" t="s">
        <v>38</v>
      </c>
      <c r="D96" s="75" t="s">
        <v>38</v>
      </c>
      <c r="E96" s="75" t="s">
        <v>38</v>
      </c>
      <c r="F96" s="75">
        <v>0</v>
      </c>
      <c r="G96" s="76" t="s">
        <v>38</v>
      </c>
      <c r="H96" s="76" t="s">
        <v>38</v>
      </c>
      <c r="I96" s="76" t="s">
        <v>38</v>
      </c>
      <c r="J96" s="77">
        <v>5</v>
      </c>
      <c r="K96" s="78">
        <f t="shared" si="57"/>
        <v>5</v>
      </c>
      <c r="L96" s="79">
        <v>0</v>
      </c>
      <c r="M96" s="218">
        <f t="shared" si="58"/>
        <v>5</v>
      </c>
      <c r="N96" s="81">
        <v>125.03</v>
      </c>
      <c r="O96" s="81">
        <v>0</v>
      </c>
      <c r="P96" s="82">
        <f t="shared" si="59"/>
        <v>125.03</v>
      </c>
      <c r="Q96" s="83">
        <f t="shared" si="61"/>
        <v>6.2515000000000001</v>
      </c>
      <c r="R96" s="84">
        <f t="shared" si="54"/>
        <v>131.28149999999999</v>
      </c>
      <c r="S96" s="83">
        <f t="shared" si="62"/>
        <v>6.5640749999999999</v>
      </c>
      <c r="T96" s="125">
        <v>166</v>
      </c>
      <c r="U96" s="85">
        <v>0</v>
      </c>
      <c r="V96" s="85">
        <f t="shared" si="60"/>
        <v>166</v>
      </c>
      <c r="W96" s="78">
        <f t="shared" si="46"/>
        <v>83</v>
      </c>
      <c r="X96" s="87">
        <f t="shared" si="47"/>
        <v>4.7428571428571429</v>
      </c>
      <c r="Y96" s="88">
        <f t="shared" si="48"/>
        <v>5.9285714285714288</v>
      </c>
      <c r="Z96" s="89">
        <f t="shared" si="49"/>
        <v>1.2515000000000001</v>
      </c>
      <c r="AA96" s="89">
        <f t="shared" si="50"/>
        <v>-0.25714285714285712</v>
      </c>
      <c r="AB96" s="89">
        <f t="shared" si="28"/>
        <v>0.92857142857142883</v>
      </c>
      <c r="AC96" s="145">
        <v>5</v>
      </c>
      <c r="AD96" s="128" t="s">
        <v>38</v>
      </c>
      <c r="AE96" s="94" t="s">
        <v>38</v>
      </c>
      <c r="AF96" s="94" t="s">
        <v>38</v>
      </c>
      <c r="AG96" s="94" t="s">
        <v>38</v>
      </c>
      <c r="AH96" s="94" t="s">
        <v>38</v>
      </c>
      <c r="AI96" s="94" t="s">
        <v>38</v>
      </c>
      <c r="AJ96" s="147" t="s">
        <v>38</v>
      </c>
      <c r="AK96" s="147" t="s">
        <v>38</v>
      </c>
      <c r="AL96" s="147" t="s">
        <v>38</v>
      </c>
      <c r="AM96" s="147" t="s">
        <v>38</v>
      </c>
      <c r="AN96" s="147" t="s">
        <v>38</v>
      </c>
      <c r="AO96" s="146"/>
      <c r="AP96" s="63"/>
    </row>
    <row r="97" spans="1:42" ht="21.75" customHeight="1" x14ac:dyDescent="0.2">
      <c r="A97" s="127" t="s">
        <v>222</v>
      </c>
      <c r="B97" s="272" t="s">
        <v>34</v>
      </c>
      <c r="C97" s="158" t="s">
        <v>38</v>
      </c>
      <c r="D97" s="75" t="s">
        <v>38</v>
      </c>
      <c r="E97" s="75" t="s">
        <v>38</v>
      </c>
      <c r="F97" s="75" t="s">
        <v>38</v>
      </c>
      <c r="G97" s="76" t="s">
        <v>38</v>
      </c>
      <c r="H97" s="76" t="s">
        <v>38</v>
      </c>
      <c r="I97" s="76">
        <v>1</v>
      </c>
      <c r="J97" s="77">
        <v>4</v>
      </c>
      <c r="K97" s="78">
        <f>SUM(C97:J97)</f>
        <v>5</v>
      </c>
      <c r="L97" s="79">
        <v>0</v>
      </c>
      <c r="M97" s="218">
        <f>K97-L97</f>
        <v>5</v>
      </c>
      <c r="N97" s="81">
        <v>23.86</v>
      </c>
      <c r="O97" s="81">
        <v>0</v>
      </c>
      <c r="P97" s="82">
        <f>SUM(N97:O97)</f>
        <v>23.86</v>
      </c>
      <c r="Q97" s="83">
        <f t="shared" si="61"/>
        <v>1.1930000000000001</v>
      </c>
      <c r="R97" s="84">
        <f>(P97*0.05)+P97</f>
        <v>25.053000000000001</v>
      </c>
      <c r="S97" s="83">
        <f>R97/20</f>
        <v>1.25265</v>
      </c>
      <c r="T97" s="125">
        <v>73</v>
      </c>
      <c r="U97" s="85">
        <v>0</v>
      </c>
      <c r="V97" s="85">
        <f>SUM(T97:U97)</f>
        <v>73</v>
      </c>
      <c r="W97" s="78">
        <f>V97/2</f>
        <v>36.5</v>
      </c>
      <c r="X97" s="87">
        <f>V97/35</f>
        <v>2.0857142857142859</v>
      </c>
      <c r="Y97" s="88">
        <f>W97/14</f>
        <v>2.6071428571428572</v>
      </c>
      <c r="Z97" s="89">
        <f>Q97-M97</f>
        <v>-3.8069999999999999</v>
      </c>
      <c r="AA97" s="89">
        <f>X97-M97</f>
        <v>-2.9142857142857141</v>
      </c>
      <c r="AB97" s="89">
        <f>Y97-M97</f>
        <v>-2.3928571428571428</v>
      </c>
      <c r="AC97" s="145">
        <v>5</v>
      </c>
      <c r="AD97" s="128" t="s">
        <v>38</v>
      </c>
      <c r="AE97" s="94" t="s">
        <v>38</v>
      </c>
      <c r="AF97" s="94" t="s">
        <v>38</v>
      </c>
      <c r="AG97" s="94" t="s">
        <v>38</v>
      </c>
      <c r="AH97" s="94" t="s">
        <v>38</v>
      </c>
      <c r="AI97" s="94" t="s">
        <v>38</v>
      </c>
      <c r="AJ97" s="147" t="s">
        <v>38</v>
      </c>
      <c r="AK97" s="147" t="s">
        <v>38</v>
      </c>
      <c r="AL97" s="147" t="s">
        <v>38</v>
      </c>
      <c r="AM97" s="147" t="s">
        <v>38</v>
      </c>
      <c r="AN97" s="147" t="s">
        <v>38</v>
      </c>
      <c r="AO97" s="146"/>
      <c r="AP97" s="63"/>
    </row>
    <row r="98" spans="1:42" ht="21.75" customHeight="1" x14ac:dyDescent="0.2">
      <c r="A98" s="127" t="s">
        <v>223</v>
      </c>
      <c r="B98" s="272" t="s">
        <v>37</v>
      </c>
      <c r="C98" s="158">
        <v>0</v>
      </c>
      <c r="D98" s="75">
        <v>0</v>
      </c>
      <c r="E98" s="75">
        <v>2</v>
      </c>
      <c r="F98" s="75">
        <v>0</v>
      </c>
      <c r="G98" s="76">
        <v>0</v>
      </c>
      <c r="H98" s="76">
        <v>0</v>
      </c>
      <c r="I98" s="76">
        <v>4</v>
      </c>
      <c r="J98" s="77">
        <v>3</v>
      </c>
      <c r="K98" s="78">
        <f>SUM(C98:J98)</f>
        <v>9</v>
      </c>
      <c r="L98" s="79">
        <v>0</v>
      </c>
      <c r="M98" s="218">
        <f>K98-L98</f>
        <v>9</v>
      </c>
      <c r="N98" s="81">
        <f>5.44444444444444+30.8888888888889</f>
        <v>36.333333333333343</v>
      </c>
      <c r="O98" s="81">
        <v>0</v>
      </c>
      <c r="P98" s="82">
        <f>SUM(N98:O98)</f>
        <v>36.333333333333343</v>
      </c>
      <c r="Q98" s="83">
        <f t="shared" si="61"/>
        <v>1.8166666666666671</v>
      </c>
      <c r="R98" s="84">
        <f>(P98*0.05)+P98</f>
        <v>38.150000000000013</v>
      </c>
      <c r="S98" s="83">
        <f>R98/20</f>
        <v>1.9075000000000006</v>
      </c>
      <c r="T98" s="125">
        <f>184+202</f>
        <v>386</v>
      </c>
      <c r="U98" s="85">
        <v>0</v>
      </c>
      <c r="V98" s="85">
        <f>SUM(T98:U98)</f>
        <v>386</v>
      </c>
      <c r="W98" s="78">
        <f>V98/2</f>
        <v>193</v>
      </c>
      <c r="X98" s="87">
        <f>V98/35</f>
        <v>11.028571428571428</v>
      </c>
      <c r="Y98" s="88">
        <f>W98/14</f>
        <v>13.785714285714286</v>
      </c>
      <c r="Z98" s="89">
        <f>Q98-M98</f>
        <v>-7.1833333333333327</v>
      </c>
      <c r="AA98" s="89">
        <f>X98-M98</f>
        <v>2.0285714285714285</v>
      </c>
      <c r="AB98" s="89">
        <f>Y98-M98</f>
        <v>4.7857142857142865</v>
      </c>
      <c r="AC98" s="145">
        <v>5</v>
      </c>
      <c r="AD98" s="219">
        <v>0</v>
      </c>
      <c r="AE98" s="220">
        <v>0</v>
      </c>
      <c r="AF98" s="220">
        <v>0</v>
      </c>
      <c r="AG98" s="220">
        <v>0</v>
      </c>
      <c r="AH98" s="220">
        <v>0</v>
      </c>
      <c r="AI98" s="220">
        <v>0</v>
      </c>
      <c r="AJ98" s="234">
        <v>0</v>
      </c>
      <c r="AK98" s="234">
        <v>0</v>
      </c>
      <c r="AL98" s="234">
        <v>0</v>
      </c>
      <c r="AM98" s="234">
        <v>0</v>
      </c>
      <c r="AN98" s="234">
        <v>0</v>
      </c>
      <c r="AO98" s="146"/>
      <c r="AP98" s="63"/>
    </row>
    <row r="99" spans="1:42" ht="21.75" customHeight="1" x14ac:dyDescent="0.2">
      <c r="A99" s="127" t="s">
        <v>247</v>
      </c>
      <c r="B99" s="272" t="s">
        <v>35</v>
      </c>
      <c r="C99" s="158" t="s">
        <v>38</v>
      </c>
      <c r="D99" s="75" t="s">
        <v>38</v>
      </c>
      <c r="E99" s="75" t="s">
        <v>38</v>
      </c>
      <c r="F99" s="75">
        <v>2</v>
      </c>
      <c r="G99" s="76" t="s">
        <v>38</v>
      </c>
      <c r="H99" s="76" t="s">
        <v>38</v>
      </c>
      <c r="I99" s="76">
        <v>1</v>
      </c>
      <c r="J99" s="77">
        <v>2</v>
      </c>
      <c r="K99" s="78">
        <f t="shared" si="57"/>
        <v>5</v>
      </c>
      <c r="L99" s="79">
        <v>0</v>
      </c>
      <c r="M99" s="218">
        <f t="shared" si="58"/>
        <v>5</v>
      </c>
      <c r="N99" s="98">
        <v>0</v>
      </c>
      <c r="O99" s="81">
        <v>0</v>
      </c>
      <c r="P99" s="82">
        <f>SUM(N99:O99)</f>
        <v>0</v>
      </c>
      <c r="Q99" s="83">
        <v>0</v>
      </c>
      <c r="R99" s="84">
        <v>35</v>
      </c>
      <c r="S99" s="83">
        <f t="shared" si="62"/>
        <v>1.75</v>
      </c>
      <c r="T99" s="125">
        <v>0</v>
      </c>
      <c r="U99" s="85">
        <v>0</v>
      </c>
      <c r="V99" s="85">
        <f t="shared" si="60"/>
        <v>0</v>
      </c>
      <c r="W99" s="78">
        <f t="shared" si="46"/>
        <v>0</v>
      </c>
      <c r="X99" s="87">
        <f t="shared" si="47"/>
        <v>0</v>
      </c>
      <c r="Y99" s="88">
        <f t="shared" si="48"/>
        <v>0</v>
      </c>
      <c r="Z99" s="89">
        <f t="shared" si="49"/>
        <v>-5</v>
      </c>
      <c r="AA99" s="89">
        <f t="shared" si="50"/>
        <v>-5</v>
      </c>
      <c r="AB99" s="89">
        <f t="shared" ref="AB99:AB107" si="63">Y99-M99</f>
        <v>-5</v>
      </c>
      <c r="AC99" s="145">
        <v>5</v>
      </c>
      <c r="AD99" s="128" t="s">
        <v>38</v>
      </c>
      <c r="AE99" s="94" t="s">
        <v>38</v>
      </c>
      <c r="AF99" s="94" t="s">
        <v>38</v>
      </c>
      <c r="AG99" s="94" t="s">
        <v>38</v>
      </c>
      <c r="AH99" s="94" t="s">
        <v>38</v>
      </c>
      <c r="AI99" s="94" t="s">
        <v>38</v>
      </c>
      <c r="AJ99" s="147" t="s">
        <v>38</v>
      </c>
      <c r="AK99" s="147" t="s">
        <v>38</v>
      </c>
      <c r="AL99" s="147" t="s">
        <v>38</v>
      </c>
      <c r="AM99" s="147" t="s">
        <v>38</v>
      </c>
      <c r="AN99" s="147" t="s">
        <v>38</v>
      </c>
      <c r="AO99" s="146"/>
      <c r="AP99" s="63"/>
    </row>
    <row r="100" spans="1:42" s="9" customFormat="1" ht="21.95" customHeight="1" x14ac:dyDescent="0.2">
      <c r="A100" s="64" t="s">
        <v>105</v>
      </c>
      <c r="B100" s="265"/>
      <c r="C100" s="122">
        <f>SUM(C102:C105)</f>
        <v>0</v>
      </c>
      <c r="D100" s="122">
        <f>SUM(D101:D105)</f>
        <v>2</v>
      </c>
      <c r="E100" s="122">
        <f t="shared" ref="E100:J100" si="64">SUM(E101:E105)</f>
        <v>1</v>
      </c>
      <c r="F100" s="122">
        <f t="shared" si="64"/>
        <v>0</v>
      </c>
      <c r="G100" s="122">
        <f t="shared" si="64"/>
        <v>0</v>
      </c>
      <c r="H100" s="122">
        <f t="shared" si="64"/>
        <v>0</v>
      </c>
      <c r="I100" s="122">
        <f t="shared" si="64"/>
        <v>4</v>
      </c>
      <c r="J100" s="122">
        <f t="shared" si="64"/>
        <v>16</v>
      </c>
      <c r="K100" s="122">
        <f>SUM(K101:K105)</f>
        <v>23</v>
      </c>
      <c r="L100" s="65">
        <f>SUM(L101:L105)</f>
        <v>3</v>
      </c>
      <c r="M100" s="65">
        <f>SUM(M101:M105)</f>
        <v>20</v>
      </c>
      <c r="N100" s="67">
        <f>SUM(N102:N105)</f>
        <v>198.47222222222223</v>
      </c>
      <c r="O100" s="67">
        <f>SUM(O101:O105)</f>
        <v>44.590000000000074</v>
      </c>
      <c r="P100" s="67">
        <f>SUM(P101:P105)</f>
        <v>243.06222222222232</v>
      </c>
      <c r="Q100" s="187">
        <f>SUM(Q101:Q105)</f>
        <v>11.386111111111115</v>
      </c>
      <c r="R100" s="152">
        <f t="shared" si="54"/>
        <v>255.21533333333343</v>
      </c>
      <c r="S100" s="187">
        <f>SUM(S101:S105)</f>
        <v>11.259916666666667</v>
      </c>
      <c r="T100" s="65">
        <f>SUM(T101:T105)</f>
        <v>301</v>
      </c>
      <c r="U100" s="65">
        <f>SUM(U101:U105)</f>
        <v>57</v>
      </c>
      <c r="V100" s="65">
        <f>SUM(V101:V105)</f>
        <v>358</v>
      </c>
      <c r="W100" s="65">
        <f t="shared" si="46"/>
        <v>179</v>
      </c>
      <c r="X100" s="155">
        <f t="shared" si="47"/>
        <v>10.228571428571428</v>
      </c>
      <c r="Y100" s="155">
        <f t="shared" si="48"/>
        <v>12.785714285714286</v>
      </c>
      <c r="Z100" s="187">
        <f>SUM(Z101:Z105)</f>
        <v>-8.6138888888888854</v>
      </c>
      <c r="AA100" s="69">
        <f>SUM(AA101:AA105)</f>
        <v>-11.771428571428572</v>
      </c>
      <c r="AB100" s="69">
        <f t="shared" si="63"/>
        <v>-7.2142857142857135</v>
      </c>
      <c r="AC100" s="187">
        <f>SUM(AC101:AC105)</f>
        <v>21</v>
      </c>
      <c r="AD100" s="187">
        <f>SUM(AD101:AD105)</f>
        <v>1.403140625</v>
      </c>
      <c r="AE100" s="65">
        <f t="shared" ref="AE100:AN100" si="65">SUM(AE101:AE105)</f>
        <v>0</v>
      </c>
      <c r="AF100" s="65">
        <f t="shared" si="65"/>
        <v>1</v>
      </c>
      <c r="AG100" s="65">
        <f t="shared" si="65"/>
        <v>0</v>
      </c>
      <c r="AH100" s="65">
        <f t="shared" si="65"/>
        <v>0</v>
      </c>
      <c r="AI100" s="65">
        <f t="shared" si="65"/>
        <v>0</v>
      </c>
      <c r="AJ100" s="65">
        <f t="shared" si="65"/>
        <v>0</v>
      </c>
      <c r="AK100" s="65">
        <f t="shared" si="65"/>
        <v>0</v>
      </c>
      <c r="AL100" s="65">
        <f t="shared" si="65"/>
        <v>0</v>
      </c>
      <c r="AM100" s="65">
        <f t="shared" si="65"/>
        <v>0</v>
      </c>
      <c r="AN100" s="65">
        <f t="shared" si="65"/>
        <v>0</v>
      </c>
      <c r="AO100" s="71"/>
      <c r="AP100" s="72"/>
    </row>
    <row r="101" spans="1:42" s="10" customFormat="1" ht="21.75" customHeight="1" x14ac:dyDescent="0.2">
      <c r="A101" s="347" t="s">
        <v>106</v>
      </c>
      <c r="B101" s="262" t="s">
        <v>15</v>
      </c>
      <c r="C101" s="96" t="s">
        <v>38</v>
      </c>
      <c r="D101" s="96">
        <v>1</v>
      </c>
      <c r="E101" s="96" t="s">
        <v>38</v>
      </c>
      <c r="F101" s="96" t="s">
        <v>38</v>
      </c>
      <c r="G101" s="97" t="s">
        <v>38</v>
      </c>
      <c r="H101" s="97" t="s">
        <v>38</v>
      </c>
      <c r="I101" s="97">
        <v>1</v>
      </c>
      <c r="J101" s="97">
        <v>1</v>
      </c>
      <c r="K101" s="108">
        <f>SUM(C101:J101)</f>
        <v>3</v>
      </c>
      <c r="L101" s="144">
        <v>0</v>
      </c>
      <c r="M101" s="237">
        <f t="shared" ref="M101:M127" si="66">K101-L101</f>
        <v>3</v>
      </c>
      <c r="N101" s="98">
        <v>0</v>
      </c>
      <c r="O101" s="98">
        <f>7.66666666666667+6.25</f>
        <v>13.91666666666667</v>
      </c>
      <c r="P101" s="82">
        <f t="shared" ref="P101:P108" si="67">N101+O101</f>
        <v>13.91666666666667</v>
      </c>
      <c r="Q101" s="134">
        <f>+O101/20</f>
        <v>0.69583333333333353</v>
      </c>
      <c r="R101" s="84">
        <f t="shared" si="54"/>
        <v>14.612500000000002</v>
      </c>
      <c r="S101" s="135">
        <f>+Q101/20</f>
        <v>3.4791666666666679E-2</v>
      </c>
      <c r="T101" s="190">
        <v>0</v>
      </c>
      <c r="U101" s="86">
        <v>19</v>
      </c>
      <c r="V101" s="85">
        <f>SUM(U101:U101)</f>
        <v>19</v>
      </c>
      <c r="W101" s="78">
        <f t="shared" si="46"/>
        <v>9.5</v>
      </c>
      <c r="X101" s="87">
        <f t="shared" si="47"/>
        <v>0.54285714285714282</v>
      </c>
      <c r="Y101" s="88">
        <f t="shared" si="48"/>
        <v>0.6785714285714286</v>
      </c>
      <c r="Z101" s="100">
        <f>Q101-M101</f>
        <v>-2.3041666666666663</v>
      </c>
      <c r="AA101" s="100">
        <f>X101-M101</f>
        <v>-2.4571428571428573</v>
      </c>
      <c r="AB101" s="100">
        <f t="shared" si="63"/>
        <v>-2.3214285714285712</v>
      </c>
      <c r="AC101" s="191">
        <v>3</v>
      </c>
      <c r="AD101" s="128" t="s">
        <v>38</v>
      </c>
      <c r="AE101" s="241" t="s">
        <v>38</v>
      </c>
      <c r="AF101" s="220" t="s">
        <v>38</v>
      </c>
      <c r="AG101" s="241" t="s">
        <v>38</v>
      </c>
      <c r="AH101" s="241" t="s">
        <v>38</v>
      </c>
      <c r="AI101" s="241" t="s">
        <v>38</v>
      </c>
      <c r="AJ101" s="242" t="s">
        <v>38</v>
      </c>
      <c r="AK101" s="242" t="s">
        <v>38</v>
      </c>
      <c r="AL101" s="242" t="s">
        <v>38</v>
      </c>
      <c r="AM101" s="242" t="s">
        <v>38</v>
      </c>
      <c r="AN101" s="242" t="s">
        <v>38</v>
      </c>
      <c r="AO101" s="94"/>
      <c r="AP101" s="63"/>
    </row>
    <row r="102" spans="1:42" s="7" customFormat="1" ht="21.75" customHeight="1" x14ac:dyDescent="0.2">
      <c r="A102" s="347"/>
      <c r="B102" s="263" t="s">
        <v>16</v>
      </c>
      <c r="C102" s="158" t="s">
        <v>38</v>
      </c>
      <c r="D102" s="158">
        <v>1</v>
      </c>
      <c r="E102" s="158">
        <v>0</v>
      </c>
      <c r="F102" s="158" t="s">
        <v>38</v>
      </c>
      <c r="G102" s="76" t="s">
        <v>38</v>
      </c>
      <c r="H102" s="76" t="s">
        <v>38</v>
      </c>
      <c r="I102" s="76" t="s">
        <v>38</v>
      </c>
      <c r="J102" s="76">
        <v>2</v>
      </c>
      <c r="K102" s="194">
        <f>SUM(C102:J102)</f>
        <v>3</v>
      </c>
      <c r="L102" s="144">
        <v>0</v>
      </c>
      <c r="M102" s="237">
        <f t="shared" si="66"/>
        <v>3</v>
      </c>
      <c r="N102" s="81">
        <v>0</v>
      </c>
      <c r="O102" s="81">
        <f>7.6666666666667*2</f>
        <v>15.3333333333334</v>
      </c>
      <c r="P102" s="82">
        <f t="shared" si="67"/>
        <v>15.3333333333334</v>
      </c>
      <c r="Q102" s="134">
        <f>+O102/20</f>
        <v>0.76666666666666994</v>
      </c>
      <c r="R102" s="84">
        <f t="shared" si="54"/>
        <v>16.100000000000069</v>
      </c>
      <c r="S102" s="135">
        <f>+Q102/20</f>
        <v>3.8333333333333497E-2</v>
      </c>
      <c r="T102" s="109">
        <v>0</v>
      </c>
      <c r="U102" s="195">
        <v>38</v>
      </c>
      <c r="V102" s="85">
        <f>SUM(U102:U102)</f>
        <v>38</v>
      </c>
      <c r="W102" s="78">
        <f t="shared" si="46"/>
        <v>19</v>
      </c>
      <c r="X102" s="87">
        <f t="shared" si="47"/>
        <v>1.0857142857142856</v>
      </c>
      <c r="Y102" s="88">
        <f t="shared" si="48"/>
        <v>1.3571428571428572</v>
      </c>
      <c r="Z102" s="89">
        <f>Q102-M102</f>
        <v>-2.2333333333333298</v>
      </c>
      <c r="AA102" s="89">
        <f>X102-M102</f>
        <v>-1.9142857142857144</v>
      </c>
      <c r="AB102" s="89">
        <f t="shared" si="63"/>
        <v>-1.6428571428571428</v>
      </c>
      <c r="AC102" s="191">
        <v>3</v>
      </c>
      <c r="AD102" s="196">
        <f>S102/8</f>
        <v>4.7916666666666871E-3</v>
      </c>
      <c r="AE102" s="243" t="s">
        <v>38</v>
      </c>
      <c r="AF102" s="243">
        <v>1</v>
      </c>
      <c r="AG102" s="243" t="s">
        <v>38</v>
      </c>
      <c r="AH102" s="243" t="s">
        <v>38</v>
      </c>
      <c r="AI102" s="243" t="s">
        <v>38</v>
      </c>
      <c r="AJ102" s="242" t="s">
        <v>38</v>
      </c>
      <c r="AK102" s="242" t="s">
        <v>38</v>
      </c>
      <c r="AL102" s="242" t="s">
        <v>38</v>
      </c>
      <c r="AM102" s="242" t="s">
        <v>38</v>
      </c>
      <c r="AN102" s="242" t="s">
        <v>38</v>
      </c>
      <c r="AO102" s="94"/>
      <c r="AP102" s="95"/>
    </row>
    <row r="103" spans="1:42" s="7" customFormat="1" ht="21.75" customHeight="1" x14ac:dyDescent="0.2">
      <c r="A103" s="347"/>
      <c r="B103" s="263" t="s">
        <v>17</v>
      </c>
      <c r="C103" s="158" t="s">
        <v>38</v>
      </c>
      <c r="D103" s="158" t="s">
        <v>38</v>
      </c>
      <c r="E103" s="158">
        <v>1</v>
      </c>
      <c r="F103" s="158" t="s">
        <v>38</v>
      </c>
      <c r="G103" s="76" t="s">
        <v>38</v>
      </c>
      <c r="H103" s="76" t="s">
        <v>38</v>
      </c>
      <c r="I103" s="76">
        <v>2</v>
      </c>
      <c r="J103" s="76">
        <v>2</v>
      </c>
      <c r="K103" s="194">
        <f>SUM(D103:J103)</f>
        <v>5</v>
      </c>
      <c r="L103" s="144">
        <v>1</v>
      </c>
      <c r="M103" s="237">
        <f t="shared" si="66"/>
        <v>4</v>
      </c>
      <c r="N103" s="81">
        <v>0</v>
      </c>
      <c r="O103" s="81">
        <f>7.67*2</f>
        <v>15.34</v>
      </c>
      <c r="P103" s="82">
        <f t="shared" si="67"/>
        <v>15.34</v>
      </c>
      <c r="Q103" s="134">
        <f>N103/20</f>
        <v>0</v>
      </c>
      <c r="R103" s="84">
        <f t="shared" si="54"/>
        <v>16.106999999999999</v>
      </c>
      <c r="S103" s="135">
        <f>P103/20</f>
        <v>0.76700000000000002</v>
      </c>
      <c r="T103" s="103">
        <v>154</v>
      </c>
      <c r="U103" s="136">
        <v>0</v>
      </c>
      <c r="V103" s="85">
        <f t="shared" ref="V103:V120" si="68">SUM(T103:U103)</f>
        <v>154</v>
      </c>
      <c r="W103" s="78">
        <f t="shared" si="46"/>
        <v>77</v>
      </c>
      <c r="X103" s="87">
        <f t="shared" si="47"/>
        <v>4.4000000000000004</v>
      </c>
      <c r="Y103" s="88">
        <f t="shared" si="48"/>
        <v>5.5</v>
      </c>
      <c r="Z103" s="89">
        <f>Q103-M103</f>
        <v>-4</v>
      </c>
      <c r="AA103" s="89">
        <f>X103-M103</f>
        <v>0.40000000000000036</v>
      </c>
      <c r="AB103" s="89">
        <f t="shared" si="63"/>
        <v>1.5</v>
      </c>
      <c r="AC103" s="191">
        <v>5</v>
      </c>
      <c r="AD103" s="196">
        <f>S103/8</f>
        <v>9.5875000000000002E-2</v>
      </c>
      <c r="AE103" s="243" t="s">
        <v>38</v>
      </c>
      <c r="AF103" s="244">
        <v>0</v>
      </c>
      <c r="AG103" s="243" t="s">
        <v>38</v>
      </c>
      <c r="AH103" s="243" t="s">
        <v>38</v>
      </c>
      <c r="AI103" s="243" t="s">
        <v>38</v>
      </c>
      <c r="AJ103" s="242" t="s">
        <v>38</v>
      </c>
      <c r="AK103" s="242" t="s">
        <v>38</v>
      </c>
      <c r="AL103" s="242" t="s">
        <v>38</v>
      </c>
      <c r="AM103" s="242" t="s">
        <v>38</v>
      </c>
      <c r="AN103" s="242" t="s">
        <v>38</v>
      </c>
      <c r="AO103" s="94"/>
      <c r="AP103" s="95"/>
    </row>
    <row r="104" spans="1:42" s="7" customFormat="1" ht="24" x14ac:dyDescent="0.2">
      <c r="A104" s="198" t="s">
        <v>107</v>
      </c>
      <c r="B104" s="263" t="s">
        <v>27</v>
      </c>
      <c r="C104" s="199" t="s">
        <v>38</v>
      </c>
      <c r="D104" s="199" t="s">
        <v>38</v>
      </c>
      <c r="E104" s="199" t="s">
        <v>38</v>
      </c>
      <c r="F104" s="199" t="s">
        <v>38</v>
      </c>
      <c r="G104" s="97" t="s">
        <v>38</v>
      </c>
      <c r="H104" s="97" t="s">
        <v>38</v>
      </c>
      <c r="I104" s="97">
        <v>0</v>
      </c>
      <c r="J104" s="97">
        <v>6</v>
      </c>
      <c r="K104" s="126">
        <f>SUM(D104:J104)</f>
        <v>6</v>
      </c>
      <c r="L104" s="79">
        <v>2</v>
      </c>
      <c r="M104" s="218">
        <f t="shared" si="66"/>
        <v>4</v>
      </c>
      <c r="N104" s="81">
        <v>177.52777777777777</v>
      </c>
      <c r="O104" s="81">
        <v>0</v>
      </c>
      <c r="P104" s="82">
        <f t="shared" si="67"/>
        <v>177.52777777777777</v>
      </c>
      <c r="Q104" s="83">
        <f>+P104/20</f>
        <v>8.8763888888888882</v>
      </c>
      <c r="R104" s="84">
        <f t="shared" si="54"/>
        <v>186.40416666666667</v>
      </c>
      <c r="S104" s="83">
        <f>+R104/20</f>
        <v>9.3202083333333334</v>
      </c>
      <c r="T104" s="125">
        <v>124</v>
      </c>
      <c r="U104" s="85">
        <v>0</v>
      </c>
      <c r="V104" s="85">
        <f t="shared" si="68"/>
        <v>124</v>
      </c>
      <c r="W104" s="78">
        <f t="shared" si="46"/>
        <v>62</v>
      </c>
      <c r="X104" s="87">
        <f t="shared" si="47"/>
        <v>3.5428571428571427</v>
      </c>
      <c r="Y104" s="88">
        <f t="shared" si="48"/>
        <v>4.4285714285714288</v>
      </c>
      <c r="Z104" s="89">
        <f>Q104-M104</f>
        <v>4.8763888888888882</v>
      </c>
      <c r="AA104" s="89">
        <f>X104-K104</f>
        <v>-2.4571428571428573</v>
      </c>
      <c r="AB104" s="89">
        <f t="shared" si="63"/>
        <v>0.42857142857142883</v>
      </c>
      <c r="AC104" s="90">
        <v>5</v>
      </c>
      <c r="AD104" s="196">
        <f>S104/8</f>
        <v>1.1650260416666667</v>
      </c>
      <c r="AE104" s="126" t="s">
        <v>38</v>
      </c>
      <c r="AF104" s="126" t="s">
        <v>38</v>
      </c>
      <c r="AG104" s="126" t="s">
        <v>38</v>
      </c>
      <c r="AH104" s="126" t="s">
        <v>38</v>
      </c>
      <c r="AI104" s="126" t="s">
        <v>38</v>
      </c>
      <c r="AJ104" s="245" t="s">
        <v>38</v>
      </c>
      <c r="AK104" s="245" t="s">
        <v>38</v>
      </c>
      <c r="AL104" s="245" t="s">
        <v>38</v>
      </c>
      <c r="AM104" s="245" t="s">
        <v>38</v>
      </c>
      <c r="AN104" s="245" t="s">
        <v>38</v>
      </c>
      <c r="AO104" s="94"/>
      <c r="AP104" s="95"/>
    </row>
    <row r="105" spans="1:42" s="7" customFormat="1" ht="21.95" customHeight="1" x14ac:dyDescent="0.2">
      <c r="A105" s="198" t="s">
        <v>108</v>
      </c>
      <c r="B105" s="263" t="s">
        <v>27</v>
      </c>
      <c r="C105" s="199" t="s">
        <v>38</v>
      </c>
      <c r="D105" s="199" t="s">
        <v>38</v>
      </c>
      <c r="E105" s="199" t="s">
        <v>38</v>
      </c>
      <c r="F105" s="199" t="s">
        <v>38</v>
      </c>
      <c r="G105" s="97" t="s">
        <v>38</v>
      </c>
      <c r="H105" s="97">
        <v>0</v>
      </c>
      <c r="I105" s="97">
        <v>1</v>
      </c>
      <c r="J105" s="97">
        <v>5</v>
      </c>
      <c r="K105" s="126">
        <f>SUM(D105:J105)</f>
        <v>6</v>
      </c>
      <c r="L105" s="79">
        <v>0</v>
      </c>
      <c r="M105" s="218">
        <f t="shared" si="66"/>
        <v>6</v>
      </c>
      <c r="N105" s="81">
        <v>20.944444444444443</v>
      </c>
      <c r="O105" s="81">
        <v>0</v>
      </c>
      <c r="P105" s="82">
        <f t="shared" si="67"/>
        <v>20.944444444444443</v>
      </c>
      <c r="Q105" s="83">
        <f>+P105/20</f>
        <v>1.0472222222222221</v>
      </c>
      <c r="R105" s="84">
        <f t="shared" si="54"/>
        <v>21.991666666666664</v>
      </c>
      <c r="S105" s="83">
        <f>+R105/20</f>
        <v>1.0995833333333331</v>
      </c>
      <c r="T105" s="125">
        <v>23</v>
      </c>
      <c r="U105" s="85">
        <v>0</v>
      </c>
      <c r="V105" s="85">
        <f t="shared" si="68"/>
        <v>23</v>
      </c>
      <c r="W105" s="78">
        <f t="shared" si="46"/>
        <v>11.5</v>
      </c>
      <c r="X105" s="87">
        <f t="shared" si="47"/>
        <v>0.65714285714285714</v>
      </c>
      <c r="Y105" s="88">
        <f t="shared" si="48"/>
        <v>0.8214285714285714</v>
      </c>
      <c r="Z105" s="89">
        <f>Q105-M105</f>
        <v>-4.9527777777777775</v>
      </c>
      <c r="AA105" s="89">
        <f>X105-K105</f>
        <v>-5.3428571428571425</v>
      </c>
      <c r="AB105" s="89">
        <f t="shared" si="63"/>
        <v>-5.1785714285714288</v>
      </c>
      <c r="AC105" s="90">
        <v>5</v>
      </c>
      <c r="AD105" s="196">
        <f>S105/8</f>
        <v>0.13744791666666664</v>
      </c>
      <c r="AE105" s="126" t="s">
        <v>38</v>
      </c>
      <c r="AF105" s="126" t="s">
        <v>38</v>
      </c>
      <c r="AG105" s="126" t="s">
        <v>38</v>
      </c>
      <c r="AH105" s="126" t="s">
        <v>38</v>
      </c>
      <c r="AI105" s="126" t="s">
        <v>38</v>
      </c>
      <c r="AJ105" s="245" t="s">
        <v>38</v>
      </c>
      <c r="AK105" s="245" t="s">
        <v>38</v>
      </c>
      <c r="AL105" s="245" t="s">
        <v>38</v>
      </c>
      <c r="AM105" s="245" t="s">
        <v>38</v>
      </c>
      <c r="AN105" s="245" t="s">
        <v>38</v>
      </c>
      <c r="AO105" s="94"/>
      <c r="AP105" s="95"/>
    </row>
    <row r="106" spans="1:42" s="18" customFormat="1" ht="21.75" customHeight="1" x14ac:dyDescent="0.2">
      <c r="A106" s="201" t="s">
        <v>109</v>
      </c>
      <c r="B106" s="273"/>
      <c r="C106" s="149">
        <f t="shared" ref="C106:AI106" si="69">SUM(C107:C107)</f>
        <v>0</v>
      </c>
      <c r="D106" s="149">
        <f t="shared" si="69"/>
        <v>0</v>
      </c>
      <c r="E106" s="149">
        <f t="shared" si="69"/>
        <v>0</v>
      </c>
      <c r="F106" s="149">
        <f t="shared" si="69"/>
        <v>0</v>
      </c>
      <c r="G106" s="149">
        <f t="shared" si="69"/>
        <v>0</v>
      </c>
      <c r="H106" s="149">
        <f t="shared" si="69"/>
        <v>0</v>
      </c>
      <c r="I106" s="149">
        <f t="shared" si="69"/>
        <v>1</v>
      </c>
      <c r="J106" s="149">
        <f t="shared" si="69"/>
        <v>5</v>
      </c>
      <c r="K106" s="149">
        <f t="shared" si="69"/>
        <v>6</v>
      </c>
      <c r="L106" s="149">
        <f t="shared" si="69"/>
        <v>0</v>
      </c>
      <c r="M106" s="149">
        <f t="shared" si="69"/>
        <v>6</v>
      </c>
      <c r="N106" s="149">
        <f t="shared" si="69"/>
        <v>0</v>
      </c>
      <c r="O106" s="149">
        <f t="shared" si="69"/>
        <v>0</v>
      </c>
      <c r="P106" s="149">
        <f t="shared" si="69"/>
        <v>0</v>
      </c>
      <c r="Q106" s="149">
        <f t="shared" si="69"/>
        <v>0</v>
      </c>
      <c r="R106" s="149">
        <f t="shared" si="69"/>
        <v>72</v>
      </c>
      <c r="S106" s="149">
        <f t="shared" si="69"/>
        <v>9</v>
      </c>
      <c r="T106" s="149">
        <f t="shared" si="69"/>
        <v>0</v>
      </c>
      <c r="U106" s="149">
        <f t="shared" si="69"/>
        <v>0</v>
      </c>
      <c r="V106" s="149">
        <f t="shared" si="69"/>
        <v>0</v>
      </c>
      <c r="W106" s="149">
        <f t="shared" si="69"/>
        <v>0</v>
      </c>
      <c r="X106" s="149">
        <f t="shared" si="69"/>
        <v>0</v>
      </c>
      <c r="Y106" s="149">
        <f t="shared" si="69"/>
        <v>0</v>
      </c>
      <c r="Z106" s="233">
        <f t="shared" si="69"/>
        <v>-6</v>
      </c>
      <c r="AA106" s="233">
        <f t="shared" si="69"/>
        <v>-6</v>
      </c>
      <c r="AB106" s="233">
        <f t="shared" si="69"/>
        <v>-6</v>
      </c>
      <c r="AC106" s="202">
        <f t="shared" si="69"/>
        <v>5</v>
      </c>
      <c r="AD106" s="202">
        <f t="shared" si="69"/>
        <v>9</v>
      </c>
      <c r="AE106" s="203">
        <f t="shared" si="69"/>
        <v>0</v>
      </c>
      <c r="AF106" s="203">
        <f t="shared" si="69"/>
        <v>0</v>
      </c>
      <c r="AG106" s="203">
        <f t="shared" si="69"/>
        <v>0</v>
      </c>
      <c r="AH106" s="203">
        <f t="shared" si="69"/>
        <v>0</v>
      </c>
      <c r="AI106" s="203">
        <f t="shared" si="69"/>
        <v>0</v>
      </c>
      <c r="AJ106" s="204">
        <v>0</v>
      </c>
      <c r="AK106" s="205">
        <f>SUM(AK107:AK107)</f>
        <v>4</v>
      </c>
      <c r="AL106" s="205">
        <f>SUM(AL107:AL107)</f>
        <v>9</v>
      </c>
      <c r="AM106" s="205">
        <f>SUM(AM107:AM107)</f>
        <v>9</v>
      </c>
      <c r="AN106" s="205">
        <f>SUM(AN107:AN107)</f>
        <v>9</v>
      </c>
      <c r="AO106" s="156"/>
      <c r="AP106" s="72"/>
    </row>
    <row r="107" spans="1:42" ht="21.75" customHeight="1" x14ac:dyDescent="0.2">
      <c r="A107" s="127" t="s">
        <v>215</v>
      </c>
      <c r="B107" s="272" t="s">
        <v>141</v>
      </c>
      <c r="C107" s="75" t="s">
        <v>38</v>
      </c>
      <c r="D107" s="75" t="s">
        <v>38</v>
      </c>
      <c r="E107" s="75" t="s">
        <v>38</v>
      </c>
      <c r="F107" s="75" t="s">
        <v>38</v>
      </c>
      <c r="G107" s="76" t="s">
        <v>38</v>
      </c>
      <c r="H107" s="76" t="s">
        <v>38</v>
      </c>
      <c r="I107" s="76">
        <v>1</v>
      </c>
      <c r="J107" s="77">
        <v>5</v>
      </c>
      <c r="K107" s="171">
        <v>6</v>
      </c>
      <c r="L107" s="79">
        <v>0</v>
      </c>
      <c r="M107" s="218">
        <f t="shared" si="66"/>
        <v>6</v>
      </c>
      <c r="N107" s="81">
        <v>0</v>
      </c>
      <c r="O107" s="81">
        <v>0</v>
      </c>
      <c r="P107" s="82">
        <f t="shared" si="67"/>
        <v>0</v>
      </c>
      <c r="Q107" s="83">
        <f>+P107/20</f>
        <v>0</v>
      </c>
      <c r="R107" s="84">
        <v>72</v>
      </c>
      <c r="S107" s="83">
        <f>+R107/8</f>
        <v>9</v>
      </c>
      <c r="T107" s="85"/>
      <c r="U107" s="85">
        <v>0</v>
      </c>
      <c r="V107" s="85">
        <f t="shared" si="68"/>
        <v>0</v>
      </c>
      <c r="W107" s="78">
        <f t="shared" si="46"/>
        <v>0</v>
      </c>
      <c r="X107" s="87">
        <f t="shared" si="47"/>
        <v>0</v>
      </c>
      <c r="Y107" s="88">
        <f t="shared" si="48"/>
        <v>0</v>
      </c>
      <c r="Z107" s="89">
        <f>Q107-M107</f>
        <v>-6</v>
      </c>
      <c r="AA107" s="89">
        <f>X107-M107</f>
        <v>-6</v>
      </c>
      <c r="AB107" s="89">
        <f t="shared" si="63"/>
        <v>-6</v>
      </c>
      <c r="AC107" s="145">
        <v>5</v>
      </c>
      <c r="AD107" s="196">
        <f>R107/8</f>
        <v>9</v>
      </c>
      <c r="AE107" s="206" t="s">
        <v>38</v>
      </c>
      <c r="AF107" s="206" t="s">
        <v>38</v>
      </c>
      <c r="AG107" s="206" t="s">
        <v>38</v>
      </c>
      <c r="AH107" s="206" t="s">
        <v>38</v>
      </c>
      <c r="AI107" s="206" t="s">
        <v>38</v>
      </c>
      <c r="AJ107" s="207">
        <v>0</v>
      </c>
      <c r="AK107" s="208">
        <v>4</v>
      </c>
      <c r="AL107" s="208">
        <v>9</v>
      </c>
      <c r="AM107" s="208">
        <v>9</v>
      </c>
      <c r="AN107" s="208">
        <v>9</v>
      </c>
      <c r="AO107" s="146"/>
      <c r="AP107" s="63"/>
    </row>
    <row r="108" spans="1:42" s="18" customFormat="1" ht="21.75" customHeight="1" x14ac:dyDescent="0.2">
      <c r="A108" s="209" t="s">
        <v>164</v>
      </c>
      <c r="B108" s="274"/>
      <c r="C108" s="149"/>
      <c r="D108" s="149">
        <f>SUM(D109:D120)</f>
        <v>0</v>
      </c>
      <c r="E108" s="149">
        <f t="shared" ref="E108:L108" si="70">SUM(E109:E120)</f>
        <v>0</v>
      </c>
      <c r="F108" s="149">
        <f t="shared" si="70"/>
        <v>0</v>
      </c>
      <c r="G108" s="149">
        <f t="shared" si="70"/>
        <v>0</v>
      </c>
      <c r="H108" s="149">
        <f t="shared" si="70"/>
        <v>0</v>
      </c>
      <c r="I108" s="149">
        <f t="shared" si="70"/>
        <v>0</v>
      </c>
      <c r="J108" s="149">
        <f t="shared" si="70"/>
        <v>52</v>
      </c>
      <c r="K108" s="149">
        <f t="shared" si="70"/>
        <v>52</v>
      </c>
      <c r="L108" s="149">
        <f t="shared" si="70"/>
        <v>0</v>
      </c>
      <c r="M108" s="65">
        <f t="shared" si="66"/>
        <v>52</v>
      </c>
      <c r="N108" s="150">
        <v>0</v>
      </c>
      <c r="O108" s="150">
        <v>0</v>
      </c>
      <c r="P108" s="150">
        <f t="shared" si="67"/>
        <v>0</v>
      </c>
      <c r="Q108" s="153">
        <v>0</v>
      </c>
      <c r="R108" s="153">
        <v>0</v>
      </c>
      <c r="S108" s="153">
        <f>+R108/8</f>
        <v>0</v>
      </c>
      <c r="T108" s="153">
        <v>0</v>
      </c>
      <c r="U108" s="153">
        <v>0</v>
      </c>
      <c r="V108" s="153">
        <f t="shared" si="68"/>
        <v>0</v>
      </c>
      <c r="W108" s="65">
        <v>0</v>
      </c>
      <c r="X108" s="155">
        <v>0</v>
      </c>
      <c r="Y108" s="155">
        <v>0</v>
      </c>
      <c r="Z108" s="70">
        <f>Q108-M108</f>
        <v>-52</v>
      </c>
      <c r="AA108" s="70">
        <f t="shared" ref="AA108:AA120" si="71">X108-M108</f>
        <v>-52</v>
      </c>
      <c r="AB108" s="65">
        <v>0</v>
      </c>
      <c r="AC108" s="122">
        <v>0</v>
      </c>
      <c r="AD108" s="65">
        <v>0</v>
      </c>
      <c r="AE108" s="155">
        <v>0</v>
      </c>
      <c r="AF108" s="155">
        <v>0</v>
      </c>
      <c r="AG108" s="155">
        <v>0</v>
      </c>
      <c r="AH108" s="155">
        <v>0</v>
      </c>
      <c r="AI108" s="155">
        <v>0</v>
      </c>
      <c r="AJ108" s="155">
        <v>0</v>
      </c>
      <c r="AK108" s="155">
        <v>0</v>
      </c>
      <c r="AL108" s="155">
        <v>0</v>
      </c>
      <c r="AM108" s="155">
        <v>0</v>
      </c>
      <c r="AN108" s="155">
        <v>0</v>
      </c>
      <c r="AO108" s="156"/>
      <c r="AP108" s="72"/>
    </row>
    <row r="109" spans="1:42" ht="21.75" customHeight="1" x14ac:dyDescent="0.2">
      <c r="A109" s="127" t="s">
        <v>169</v>
      </c>
      <c r="B109" s="272"/>
      <c r="C109" s="75" t="s">
        <v>38</v>
      </c>
      <c r="D109" s="75" t="s">
        <v>38</v>
      </c>
      <c r="E109" s="75" t="s">
        <v>38</v>
      </c>
      <c r="F109" s="75" t="s">
        <v>38</v>
      </c>
      <c r="G109" s="76" t="s">
        <v>38</v>
      </c>
      <c r="H109" s="76" t="s">
        <v>38</v>
      </c>
      <c r="I109" s="76" t="s">
        <v>38</v>
      </c>
      <c r="J109" s="77">
        <v>5</v>
      </c>
      <c r="K109" s="171">
        <f>SUM(C109:J109)</f>
        <v>5</v>
      </c>
      <c r="L109" s="79">
        <v>0</v>
      </c>
      <c r="M109" s="218">
        <f t="shared" si="66"/>
        <v>5</v>
      </c>
      <c r="N109" s="81" t="s">
        <v>38</v>
      </c>
      <c r="O109" s="81" t="s">
        <v>38</v>
      </c>
      <c r="P109" s="82" t="s">
        <v>38</v>
      </c>
      <c r="Q109" s="113" t="s">
        <v>38</v>
      </c>
      <c r="R109" s="114" t="s">
        <v>38</v>
      </c>
      <c r="S109" s="113" t="s">
        <v>38</v>
      </c>
      <c r="T109" s="85">
        <v>86</v>
      </c>
      <c r="U109" s="85">
        <v>0</v>
      </c>
      <c r="V109" s="85">
        <f t="shared" si="68"/>
        <v>86</v>
      </c>
      <c r="W109" s="78" t="s">
        <v>38</v>
      </c>
      <c r="X109" s="210">
        <f>V109/18</f>
        <v>4.7777777777777777</v>
      </c>
      <c r="Y109" s="88">
        <v>0</v>
      </c>
      <c r="Z109" s="126">
        <v>0</v>
      </c>
      <c r="AA109" s="89">
        <f t="shared" si="71"/>
        <v>-0.22222222222222232</v>
      </c>
      <c r="AB109" s="126">
        <v>0</v>
      </c>
      <c r="AC109" s="211">
        <v>0</v>
      </c>
      <c r="AD109" s="128" t="s">
        <v>38</v>
      </c>
      <c r="AE109" s="94" t="s">
        <v>38</v>
      </c>
      <c r="AF109" s="94" t="s">
        <v>38</v>
      </c>
      <c r="AG109" s="94" t="s">
        <v>38</v>
      </c>
      <c r="AH109" s="94" t="s">
        <v>38</v>
      </c>
      <c r="AI109" s="94" t="s">
        <v>38</v>
      </c>
      <c r="AJ109" s="147" t="s">
        <v>38</v>
      </c>
      <c r="AK109" s="147" t="s">
        <v>38</v>
      </c>
      <c r="AL109" s="147" t="s">
        <v>38</v>
      </c>
      <c r="AM109" s="147" t="s">
        <v>38</v>
      </c>
      <c r="AN109" s="147" t="s">
        <v>38</v>
      </c>
      <c r="AO109" s="146"/>
      <c r="AP109" s="63"/>
    </row>
    <row r="110" spans="1:42" ht="21.75" customHeight="1" x14ac:dyDescent="0.2">
      <c r="A110" s="127" t="s">
        <v>170</v>
      </c>
      <c r="B110" s="272"/>
      <c r="C110" s="75" t="s">
        <v>38</v>
      </c>
      <c r="D110" s="75" t="s">
        <v>38</v>
      </c>
      <c r="E110" s="75" t="s">
        <v>38</v>
      </c>
      <c r="F110" s="75" t="s">
        <v>38</v>
      </c>
      <c r="G110" s="76" t="s">
        <v>38</v>
      </c>
      <c r="H110" s="76" t="s">
        <v>38</v>
      </c>
      <c r="I110" s="76" t="s">
        <v>38</v>
      </c>
      <c r="J110" s="77">
        <v>5</v>
      </c>
      <c r="K110" s="171">
        <f t="shared" ref="K110:K120" si="72">SUM(C110:J110)</f>
        <v>5</v>
      </c>
      <c r="L110" s="79">
        <v>0</v>
      </c>
      <c r="M110" s="218">
        <f t="shared" si="66"/>
        <v>5</v>
      </c>
      <c r="N110" s="81" t="s">
        <v>38</v>
      </c>
      <c r="O110" s="81" t="s">
        <v>38</v>
      </c>
      <c r="P110" s="82" t="s">
        <v>38</v>
      </c>
      <c r="Q110" s="113" t="s">
        <v>38</v>
      </c>
      <c r="R110" s="114" t="s">
        <v>38</v>
      </c>
      <c r="S110" s="113" t="s">
        <v>38</v>
      </c>
      <c r="T110" s="85">
        <v>94</v>
      </c>
      <c r="U110" s="85">
        <v>0</v>
      </c>
      <c r="V110" s="85">
        <f t="shared" si="68"/>
        <v>94</v>
      </c>
      <c r="W110" s="78" t="s">
        <v>38</v>
      </c>
      <c r="X110" s="210">
        <f t="shared" ref="X110:X120" si="73">V110/18</f>
        <v>5.2222222222222223</v>
      </c>
      <c r="Y110" s="88">
        <v>0</v>
      </c>
      <c r="Z110" s="126">
        <v>0</v>
      </c>
      <c r="AA110" s="89">
        <f t="shared" si="71"/>
        <v>0.22222222222222232</v>
      </c>
      <c r="AB110" s="126">
        <v>0</v>
      </c>
      <c r="AC110" s="211">
        <v>0</v>
      </c>
      <c r="AD110" s="128" t="s">
        <v>38</v>
      </c>
      <c r="AE110" s="94" t="s">
        <v>38</v>
      </c>
      <c r="AF110" s="94" t="s">
        <v>38</v>
      </c>
      <c r="AG110" s="94" t="s">
        <v>38</v>
      </c>
      <c r="AH110" s="94" t="s">
        <v>38</v>
      </c>
      <c r="AI110" s="94" t="s">
        <v>38</v>
      </c>
      <c r="AJ110" s="147" t="s">
        <v>38</v>
      </c>
      <c r="AK110" s="147" t="s">
        <v>38</v>
      </c>
      <c r="AL110" s="147" t="s">
        <v>38</v>
      </c>
      <c r="AM110" s="147" t="s">
        <v>38</v>
      </c>
      <c r="AN110" s="147" t="s">
        <v>38</v>
      </c>
      <c r="AO110" s="146"/>
      <c r="AP110" s="63"/>
    </row>
    <row r="111" spans="1:42" ht="21.75" customHeight="1" x14ac:dyDescent="0.2">
      <c r="A111" s="127" t="s">
        <v>171</v>
      </c>
      <c r="B111" s="272"/>
      <c r="C111" s="75" t="s">
        <v>38</v>
      </c>
      <c r="D111" s="75" t="s">
        <v>38</v>
      </c>
      <c r="E111" s="75" t="s">
        <v>38</v>
      </c>
      <c r="F111" s="75" t="s">
        <v>38</v>
      </c>
      <c r="G111" s="76" t="s">
        <v>38</v>
      </c>
      <c r="H111" s="76" t="s">
        <v>38</v>
      </c>
      <c r="I111" s="76" t="s">
        <v>38</v>
      </c>
      <c r="J111" s="77">
        <v>3</v>
      </c>
      <c r="K111" s="171">
        <f t="shared" si="72"/>
        <v>3</v>
      </c>
      <c r="L111" s="79">
        <v>0</v>
      </c>
      <c r="M111" s="218">
        <f t="shared" si="66"/>
        <v>3</v>
      </c>
      <c r="N111" s="81" t="s">
        <v>38</v>
      </c>
      <c r="O111" s="81" t="s">
        <v>38</v>
      </c>
      <c r="P111" s="82" t="s">
        <v>38</v>
      </c>
      <c r="Q111" s="113" t="s">
        <v>38</v>
      </c>
      <c r="R111" s="114" t="s">
        <v>38</v>
      </c>
      <c r="S111" s="113" t="s">
        <v>38</v>
      </c>
      <c r="T111" s="85">
        <v>56</v>
      </c>
      <c r="U111" s="85">
        <v>0</v>
      </c>
      <c r="V111" s="85">
        <f t="shared" si="68"/>
        <v>56</v>
      </c>
      <c r="W111" s="78" t="s">
        <v>38</v>
      </c>
      <c r="X111" s="210">
        <f t="shared" si="73"/>
        <v>3.1111111111111112</v>
      </c>
      <c r="Y111" s="88">
        <v>0</v>
      </c>
      <c r="Z111" s="126">
        <v>0</v>
      </c>
      <c r="AA111" s="89">
        <f t="shared" si="71"/>
        <v>0.11111111111111116</v>
      </c>
      <c r="AB111" s="126">
        <v>0</v>
      </c>
      <c r="AC111" s="211">
        <v>0</v>
      </c>
      <c r="AD111" s="128" t="s">
        <v>38</v>
      </c>
      <c r="AE111" s="94" t="s">
        <v>38</v>
      </c>
      <c r="AF111" s="94" t="s">
        <v>38</v>
      </c>
      <c r="AG111" s="94" t="s">
        <v>38</v>
      </c>
      <c r="AH111" s="94" t="s">
        <v>38</v>
      </c>
      <c r="AI111" s="94" t="s">
        <v>38</v>
      </c>
      <c r="AJ111" s="147" t="s">
        <v>38</v>
      </c>
      <c r="AK111" s="147" t="s">
        <v>38</v>
      </c>
      <c r="AL111" s="147" t="s">
        <v>38</v>
      </c>
      <c r="AM111" s="147" t="s">
        <v>38</v>
      </c>
      <c r="AN111" s="147" t="s">
        <v>38</v>
      </c>
      <c r="AO111" s="146"/>
      <c r="AP111" s="63"/>
    </row>
    <row r="112" spans="1:42" ht="21.75" customHeight="1" x14ac:dyDescent="0.2">
      <c r="A112" s="127" t="s">
        <v>172</v>
      </c>
      <c r="B112" s="272"/>
      <c r="C112" s="75" t="s">
        <v>38</v>
      </c>
      <c r="D112" s="75" t="s">
        <v>38</v>
      </c>
      <c r="E112" s="75" t="s">
        <v>38</v>
      </c>
      <c r="F112" s="75" t="s">
        <v>38</v>
      </c>
      <c r="G112" s="76" t="s">
        <v>38</v>
      </c>
      <c r="H112" s="76" t="s">
        <v>38</v>
      </c>
      <c r="I112" s="76" t="s">
        <v>38</v>
      </c>
      <c r="J112" s="77">
        <v>3</v>
      </c>
      <c r="K112" s="171">
        <f t="shared" si="72"/>
        <v>3</v>
      </c>
      <c r="L112" s="79">
        <v>0</v>
      </c>
      <c r="M112" s="218">
        <f t="shared" si="66"/>
        <v>3</v>
      </c>
      <c r="N112" s="81" t="s">
        <v>38</v>
      </c>
      <c r="O112" s="81" t="s">
        <v>38</v>
      </c>
      <c r="P112" s="82" t="s">
        <v>38</v>
      </c>
      <c r="Q112" s="113" t="s">
        <v>38</v>
      </c>
      <c r="R112" s="114" t="s">
        <v>38</v>
      </c>
      <c r="S112" s="113" t="s">
        <v>38</v>
      </c>
      <c r="T112" s="85">
        <v>43</v>
      </c>
      <c r="U112" s="85">
        <v>0</v>
      </c>
      <c r="V112" s="85">
        <f t="shared" si="68"/>
        <v>43</v>
      </c>
      <c r="W112" s="78" t="s">
        <v>38</v>
      </c>
      <c r="X112" s="210">
        <f t="shared" si="73"/>
        <v>2.3888888888888888</v>
      </c>
      <c r="Y112" s="88">
        <v>0</v>
      </c>
      <c r="Z112" s="126">
        <v>0</v>
      </c>
      <c r="AA112" s="89">
        <f t="shared" si="71"/>
        <v>-0.61111111111111116</v>
      </c>
      <c r="AB112" s="126">
        <v>0</v>
      </c>
      <c r="AC112" s="211">
        <v>0</v>
      </c>
      <c r="AD112" s="128" t="s">
        <v>38</v>
      </c>
      <c r="AE112" s="94" t="s">
        <v>38</v>
      </c>
      <c r="AF112" s="94" t="s">
        <v>38</v>
      </c>
      <c r="AG112" s="94" t="s">
        <v>38</v>
      </c>
      <c r="AH112" s="94" t="s">
        <v>38</v>
      </c>
      <c r="AI112" s="94" t="s">
        <v>38</v>
      </c>
      <c r="AJ112" s="147" t="s">
        <v>38</v>
      </c>
      <c r="AK112" s="147" t="s">
        <v>38</v>
      </c>
      <c r="AL112" s="147" t="s">
        <v>38</v>
      </c>
      <c r="AM112" s="147" t="s">
        <v>38</v>
      </c>
      <c r="AN112" s="147" t="s">
        <v>38</v>
      </c>
      <c r="AO112" s="146"/>
      <c r="AP112" s="63"/>
    </row>
    <row r="113" spans="1:42" ht="21.75" customHeight="1" x14ac:dyDescent="0.2">
      <c r="A113" s="127" t="s">
        <v>173</v>
      </c>
      <c r="B113" s="272"/>
      <c r="C113" s="75" t="s">
        <v>38</v>
      </c>
      <c r="D113" s="75" t="s">
        <v>38</v>
      </c>
      <c r="E113" s="75" t="s">
        <v>38</v>
      </c>
      <c r="F113" s="75" t="s">
        <v>38</v>
      </c>
      <c r="G113" s="76" t="s">
        <v>38</v>
      </c>
      <c r="H113" s="76" t="s">
        <v>38</v>
      </c>
      <c r="I113" s="76" t="s">
        <v>38</v>
      </c>
      <c r="J113" s="77">
        <v>4</v>
      </c>
      <c r="K113" s="171">
        <f t="shared" si="72"/>
        <v>4</v>
      </c>
      <c r="L113" s="79">
        <v>0</v>
      </c>
      <c r="M113" s="218">
        <f t="shared" si="66"/>
        <v>4</v>
      </c>
      <c r="N113" s="81" t="s">
        <v>38</v>
      </c>
      <c r="O113" s="81" t="s">
        <v>38</v>
      </c>
      <c r="P113" s="82" t="s">
        <v>38</v>
      </c>
      <c r="Q113" s="113" t="s">
        <v>38</v>
      </c>
      <c r="R113" s="114" t="s">
        <v>38</v>
      </c>
      <c r="S113" s="113" t="s">
        <v>38</v>
      </c>
      <c r="T113" s="85">
        <v>70</v>
      </c>
      <c r="U113" s="85">
        <v>0</v>
      </c>
      <c r="V113" s="85">
        <f t="shared" si="68"/>
        <v>70</v>
      </c>
      <c r="W113" s="78" t="s">
        <v>38</v>
      </c>
      <c r="X113" s="210">
        <f t="shared" si="73"/>
        <v>3.8888888888888888</v>
      </c>
      <c r="Y113" s="88">
        <v>0</v>
      </c>
      <c r="Z113" s="126">
        <v>0</v>
      </c>
      <c r="AA113" s="89">
        <f t="shared" si="71"/>
        <v>-0.11111111111111116</v>
      </c>
      <c r="AB113" s="126">
        <v>0</v>
      </c>
      <c r="AC113" s="211">
        <v>0</v>
      </c>
      <c r="AD113" s="128" t="s">
        <v>38</v>
      </c>
      <c r="AE113" s="94" t="s">
        <v>38</v>
      </c>
      <c r="AF113" s="94" t="s">
        <v>38</v>
      </c>
      <c r="AG113" s="94" t="s">
        <v>38</v>
      </c>
      <c r="AH113" s="94" t="s">
        <v>38</v>
      </c>
      <c r="AI113" s="94" t="s">
        <v>38</v>
      </c>
      <c r="AJ113" s="147" t="s">
        <v>38</v>
      </c>
      <c r="AK113" s="147" t="s">
        <v>38</v>
      </c>
      <c r="AL113" s="147" t="s">
        <v>38</v>
      </c>
      <c r="AM113" s="147" t="s">
        <v>38</v>
      </c>
      <c r="AN113" s="147" t="s">
        <v>38</v>
      </c>
      <c r="AO113" s="146"/>
      <c r="AP113" s="63"/>
    </row>
    <row r="114" spans="1:42" ht="21.75" customHeight="1" x14ac:dyDescent="0.2">
      <c r="A114" s="127" t="s">
        <v>174</v>
      </c>
      <c r="B114" s="272"/>
      <c r="C114" s="75" t="s">
        <v>38</v>
      </c>
      <c r="D114" s="75" t="s">
        <v>38</v>
      </c>
      <c r="E114" s="75" t="s">
        <v>38</v>
      </c>
      <c r="F114" s="75" t="s">
        <v>38</v>
      </c>
      <c r="G114" s="76" t="s">
        <v>38</v>
      </c>
      <c r="H114" s="76" t="s">
        <v>38</v>
      </c>
      <c r="I114" s="76" t="s">
        <v>38</v>
      </c>
      <c r="J114" s="77">
        <v>4</v>
      </c>
      <c r="K114" s="171">
        <f t="shared" si="72"/>
        <v>4</v>
      </c>
      <c r="L114" s="79">
        <v>0</v>
      </c>
      <c r="M114" s="218">
        <f t="shared" si="66"/>
        <v>4</v>
      </c>
      <c r="N114" s="81" t="s">
        <v>38</v>
      </c>
      <c r="O114" s="81" t="s">
        <v>38</v>
      </c>
      <c r="P114" s="82" t="s">
        <v>38</v>
      </c>
      <c r="Q114" s="113" t="s">
        <v>38</v>
      </c>
      <c r="R114" s="114" t="s">
        <v>38</v>
      </c>
      <c r="S114" s="113" t="s">
        <v>38</v>
      </c>
      <c r="T114" s="85">
        <v>26</v>
      </c>
      <c r="U114" s="85">
        <v>0</v>
      </c>
      <c r="V114" s="85">
        <f t="shared" si="68"/>
        <v>26</v>
      </c>
      <c r="W114" s="78" t="s">
        <v>38</v>
      </c>
      <c r="X114" s="210">
        <f t="shared" si="73"/>
        <v>1.4444444444444444</v>
      </c>
      <c r="Y114" s="88">
        <v>0</v>
      </c>
      <c r="Z114" s="126">
        <v>0</v>
      </c>
      <c r="AA114" s="89">
        <f t="shared" si="71"/>
        <v>-2.5555555555555554</v>
      </c>
      <c r="AB114" s="126">
        <v>0</v>
      </c>
      <c r="AC114" s="211">
        <v>0</v>
      </c>
      <c r="AD114" s="128" t="s">
        <v>38</v>
      </c>
      <c r="AE114" s="94" t="s">
        <v>38</v>
      </c>
      <c r="AF114" s="94" t="s">
        <v>38</v>
      </c>
      <c r="AG114" s="94" t="s">
        <v>38</v>
      </c>
      <c r="AH114" s="94" t="s">
        <v>38</v>
      </c>
      <c r="AI114" s="94" t="s">
        <v>38</v>
      </c>
      <c r="AJ114" s="147" t="s">
        <v>38</v>
      </c>
      <c r="AK114" s="147" t="s">
        <v>38</v>
      </c>
      <c r="AL114" s="147" t="s">
        <v>38</v>
      </c>
      <c r="AM114" s="147" t="s">
        <v>38</v>
      </c>
      <c r="AN114" s="147" t="s">
        <v>38</v>
      </c>
      <c r="AO114" s="146"/>
      <c r="AP114" s="63"/>
    </row>
    <row r="115" spans="1:42" ht="21.75" customHeight="1" x14ac:dyDescent="0.2">
      <c r="A115" s="127" t="s">
        <v>175</v>
      </c>
      <c r="B115" s="272"/>
      <c r="C115" s="75" t="s">
        <v>38</v>
      </c>
      <c r="D115" s="75" t="s">
        <v>38</v>
      </c>
      <c r="E115" s="75" t="s">
        <v>38</v>
      </c>
      <c r="F115" s="75" t="s">
        <v>38</v>
      </c>
      <c r="G115" s="76" t="s">
        <v>38</v>
      </c>
      <c r="H115" s="76" t="s">
        <v>38</v>
      </c>
      <c r="I115" s="76" t="s">
        <v>38</v>
      </c>
      <c r="J115" s="77">
        <v>2</v>
      </c>
      <c r="K115" s="171">
        <f t="shared" si="72"/>
        <v>2</v>
      </c>
      <c r="L115" s="79">
        <v>0</v>
      </c>
      <c r="M115" s="218">
        <f t="shared" si="66"/>
        <v>2</v>
      </c>
      <c r="N115" s="81" t="s">
        <v>38</v>
      </c>
      <c r="O115" s="81" t="s">
        <v>38</v>
      </c>
      <c r="P115" s="82" t="s">
        <v>38</v>
      </c>
      <c r="Q115" s="113" t="s">
        <v>38</v>
      </c>
      <c r="R115" s="114" t="s">
        <v>38</v>
      </c>
      <c r="S115" s="113" t="s">
        <v>38</v>
      </c>
      <c r="T115" s="85">
        <v>16</v>
      </c>
      <c r="U115" s="85">
        <v>0</v>
      </c>
      <c r="V115" s="85">
        <f t="shared" si="68"/>
        <v>16</v>
      </c>
      <c r="W115" s="78" t="s">
        <v>38</v>
      </c>
      <c r="X115" s="210">
        <f t="shared" si="73"/>
        <v>0.88888888888888884</v>
      </c>
      <c r="Y115" s="88">
        <v>0</v>
      </c>
      <c r="Z115" s="126">
        <v>0</v>
      </c>
      <c r="AA115" s="89">
        <f t="shared" si="71"/>
        <v>-1.1111111111111112</v>
      </c>
      <c r="AB115" s="126">
        <v>0</v>
      </c>
      <c r="AC115" s="211">
        <v>0</v>
      </c>
      <c r="AD115" s="128" t="s">
        <v>38</v>
      </c>
      <c r="AE115" s="94" t="s">
        <v>38</v>
      </c>
      <c r="AF115" s="94" t="s">
        <v>38</v>
      </c>
      <c r="AG115" s="94" t="s">
        <v>38</v>
      </c>
      <c r="AH115" s="94" t="s">
        <v>38</v>
      </c>
      <c r="AI115" s="94" t="s">
        <v>38</v>
      </c>
      <c r="AJ115" s="147" t="s">
        <v>38</v>
      </c>
      <c r="AK115" s="147" t="s">
        <v>38</v>
      </c>
      <c r="AL115" s="147" t="s">
        <v>38</v>
      </c>
      <c r="AM115" s="147" t="s">
        <v>38</v>
      </c>
      <c r="AN115" s="147" t="s">
        <v>38</v>
      </c>
      <c r="AO115" s="146"/>
      <c r="AP115" s="63"/>
    </row>
    <row r="116" spans="1:42" ht="21.75" customHeight="1" x14ac:dyDescent="0.2">
      <c r="A116" s="212" t="s">
        <v>176</v>
      </c>
      <c r="B116" s="272"/>
      <c r="C116" s="75"/>
      <c r="D116" s="75" t="s">
        <v>38</v>
      </c>
      <c r="E116" s="75" t="s">
        <v>38</v>
      </c>
      <c r="F116" s="75" t="s">
        <v>38</v>
      </c>
      <c r="G116" s="76" t="s">
        <v>38</v>
      </c>
      <c r="H116" s="76" t="s">
        <v>38</v>
      </c>
      <c r="I116" s="76" t="s">
        <v>38</v>
      </c>
      <c r="J116" s="77">
        <v>2</v>
      </c>
      <c r="K116" s="171">
        <f t="shared" si="72"/>
        <v>2</v>
      </c>
      <c r="L116" s="79">
        <v>0</v>
      </c>
      <c r="M116" s="218">
        <f t="shared" si="66"/>
        <v>2</v>
      </c>
      <c r="N116" s="81" t="s">
        <v>38</v>
      </c>
      <c r="O116" s="81" t="s">
        <v>38</v>
      </c>
      <c r="P116" s="82" t="s">
        <v>38</v>
      </c>
      <c r="Q116" s="113" t="s">
        <v>38</v>
      </c>
      <c r="R116" s="114" t="s">
        <v>38</v>
      </c>
      <c r="S116" s="113" t="s">
        <v>38</v>
      </c>
      <c r="T116" s="85">
        <v>7</v>
      </c>
      <c r="U116" s="85">
        <v>0</v>
      </c>
      <c r="V116" s="85">
        <f t="shared" si="68"/>
        <v>7</v>
      </c>
      <c r="W116" s="78" t="s">
        <v>38</v>
      </c>
      <c r="X116" s="213">
        <f>V116/18</f>
        <v>0.3888888888888889</v>
      </c>
      <c r="Y116" s="88">
        <v>0</v>
      </c>
      <c r="Z116" s="126">
        <v>0</v>
      </c>
      <c r="AA116" s="89">
        <f t="shared" si="71"/>
        <v>-1.6111111111111112</v>
      </c>
      <c r="AB116" s="126">
        <v>0</v>
      </c>
      <c r="AC116" s="211">
        <v>0</v>
      </c>
      <c r="AD116" s="128" t="s">
        <v>38</v>
      </c>
      <c r="AE116" s="94" t="s">
        <v>38</v>
      </c>
      <c r="AF116" s="94" t="s">
        <v>38</v>
      </c>
      <c r="AG116" s="94" t="s">
        <v>38</v>
      </c>
      <c r="AH116" s="94" t="s">
        <v>38</v>
      </c>
      <c r="AI116" s="94" t="s">
        <v>38</v>
      </c>
      <c r="AJ116" s="147" t="s">
        <v>38</v>
      </c>
      <c r="AK116" s="147" t="s">
        <v>38</v>
      </c>
      <c r="AL116" s="147" t="s">
        <v>38</v>
      </c>
      <c r="AM116" s="147" t="s">
        <v>38</v>
      </c>
      <c r="AN116" s="147" t="s">
        <v>38</v>
      </c>
      <c r="AO116" s="146"/>
      <c r="AP116" s="63"/>
    </row>
    <row r="117" spans="1:42" ht="21.75" customHeight="1" x14ac:dyDescent="0.2">
      <c r="A117" s="127" t="s">
        <v>179</v>
      </c>
      <c r="B117" s="272"/>
      <c r="C117" s="75" t="s">
        <v>38</v>
      </c>
      <c r="D117" s="75" t="s">
        <v>38</v>
      </c>
      <c r="E117" s="75" t="s">
        <v>38</v>
      </c>
      <c r="F117" s="75" t="s">
        <v>38</v>
      </c>
      <c r="G117" s="76" t="s">
        <v>38</v>
      </c>
      <c r="H117" s="76" t="s">
        <v>38</v>
      </c>
      <c r="I117" s="76" t="s">
        <v>38</v>
      </c>
      <c r="J117" s="77">
        <v>2</v>
      </c>
      <c r="K117" s="171">
        <f t="shared" si="72"/>
        <v>2</v>
      </c>
      <c r="L117" s="79">
        <v>0</v>
      </c>
      <c r="M117" s="218">
        <f t="shared" si="66"/>
        <v>2</v>
      </c>
      <c r="N117" s="81" t="s">
        <v>38</v>
      </c>
      <c r="O117" s="81" t="s">
        <v>38</v>
      </c>
      <c r="P117" s="82" t="s">
        <v>38</v>
      </c>
      <c r="Q117" s="113" t="s">
        <v>38</v>
      </c>
      <c r="R117" s="114" t="s">
        <v>38</v>
      </c>
      <c r="S117" s="113" t="s">
        <v>38</v>
      </c>
      <c r="T117" s="85">
        <f>16+9</f>
        <v>25</v>
      </c>
      <c r="U117" s="85">
        <v>0</v>
      </c>
      <c r="V117" s="85">
        <f t="shared" si="68"/>
        <v>25</v>
      </c>
      <c r="W117" s="78" t="s">
        <v>38</v>
      </c>
      <c r="X117" s="210">
        <f t="shared" si="73"/>
        <v>1.3888888888888888</v>
      </c>
      <c r="Y117" s="88">
        <v>0</v>
      </c>
      <c r="Z117" s="126">
        <v>0</v>
      </c>
      <c r="AA117" s="89">
        <f t="shared" si="71"/>
        <v>-0.61111111111111116</v>
      </c>
      <c r="AB117" s="126">
        <v>0</v>
      </c>
      <c r="AC117" s="211">
        <v>0</v>
      </c>
      <c r="AD117" s="128" t="s">
        <v>38</v>
      </c>
      <c r="AE117" s="94" t="s">
        <v>38</v>
      </c>
      <c r="AF117" s="94" t="s">
        <v>38</v>
      </c>
      <c r="AG117" s="94" t="s">
        <v>38</v>
      </c>
      <c r="AH117" s="94" t="s">
        <v>38</v>
      </c>
      <c r="AI117" s="94" t="s">
        <v>38</v>
      </c>
      <c r="AJ117" s="147" t="s">
        <v>38</v>
      </c>
      <c r="AK117" s="147" t="s">
        <v>38</v>
      </c>
      <c r="AL117" s="147" t="s">
        <v>38</v>
      </c>
      <c r="AM117" s="147" t="s">
        <v>38</v>
      </c>
      <c r="AN117" s="147" t="s">
        <v>38</v>
      </c>
      <c r="AO117" s="146"/>
      <c r="AP117" s="63"/>
    </row>
    <row r="118" spans="1:42" ht="21.75" customHeight="1" x14ac:dyDescent="0.2">
      <c r="A118" s="127" t="s">
        <v>177</v>
      </c>
      <c r="B118" s="272"/>
      <c r="C118" s="75" t="s">
        <v>38</v>
      </c>
      <c r="D118" s="75" t="s">
        <v>38</v>
      </c>
      <c r="E118" s="75" t="s">
        <v>38</v>
      </c>
      <c r="F118" s="75" t="s">
        <v>38</v>
      </c>
      <c r="G118" s="76" t="s">
        <v>38</v>
      </c>
      <c r="H118" s="76" t="s">
        <v>38</v>
      </c>
      <c r="I118" s="76" t="s">
        <v>38</v>
      </c>
      <c r="J118" s="77">
        <v>4</v>
      </c>
      <c r="K118" s="171">
        <f t="shared" si="72"/>
        <v>4</v>
      </c>
      <c r="L118" s="79">
        <v>0</v>
      </c>
      <c r="M118" s="218">
        <f t="shared" si="66"/>
        <v>4</v>
      </c>
      <c r="N118" s="81" t="s">
        <v>38</v>
      </c>
      <c r="O118" s="81" t="s">
        <v>38</v>
      </c>
      <c r="P118" s="82" t="s">
        <v>38</v>
      </c>
      <c r="Q118" s="113" t="s">
        <v>38</v>
      </c>
      <c r="R118" s="114" t="s">
        <v>38</v>
      </c>
      <c r="S118" s="113" t="s">
        <v>38</v>
      </c>
      <c r="T118" s="85">
        <v>32</v>
      </c>
      <c r="U118" s="85">
        <v>0</v>
      </c>
      <c r="V118" s="85">
        <f t="shared" si="68"/>
        <v>32</v>
      </c>
      <c r="W118" s="78" t="s">
        <v>38</v>
      </c>
      <c r="X118" s="210">
        <f t="shared" si="73"/>
        <v>1.7777777777777777</v>
      </c>
      <c r="Y118" s="88">
        <v>0</v>
      </c>
      <c r="Z118" s="126">
        <v>0</v>
      </c>
      <c r="AA118" s="89">
        <f t="shared" si="71"/>
        <v>-2.2222222222222223</v>
      </c>
      <c r="AB118" s="126">
        <v>0</v>
      </c>
      <c r="AC118" s="211">
        <v>0</v>
      </c>
      <c r="AD118" s="128" t="s">
        <v>38</v>
      </c>
      <c r="AE118" s="94" t="s">
        <v>38</v>
      </c>
      <c r="AF118" s="94" t="s">
        <v>38</v>
      </c>
      <c r="AG118" s="94" t="s">
        <v>38</v>
      </c>
      <c r="AH118" s="94" t="s">
        <v>38</v>
      </c>
      <c r="AI118" s="94" t="s">
        <v>38</v>
      </c>
      <c r="AJ118" s="147" t="s">
        <v>38</v>
      </c>
      <c r="AK118" s="147" t="s">
        <v>38</v>
      </c>
      <c r="AL118" s="147" t="s">
        <v>38</v>
      </c>
      <c r="AM118" s="147" t="s">
        <v>38</v>
      </c>
      <c r="AN118" s="147" t="s">
        <v>38</v>
      </c>
      <c r="AO118" s="146"/>
      <c r="AP118" s="63"/>
    </row>
    <row r="119" spans="1:42" ht="21.75" customHeight="1" x14ac:dyDescent="0.2">
      <c r="A119" s="127" t="s">
        <v>178</v>
      </c>
      <c r="B119" s="272"/>
      <c r="C119" s="75" t="s">
        <v>38</v>
      </c>
      <c r="D119" s="75" t="s">
        <v>38</v>
      </c>
      <c r="E119" s="75" t="s">
        <v>38</v>
      </c>
      <c r="F119" s="75" t="s">
        <v>38</v>
      </c>
      <c r="G119" s="76" t="s">
        <v>38</v>
      </c>
      <c r="H119" s="76" t="s">
        <v>38</v>
      </c>
      <c r="I119" s="76" t="s">
        <v>38</v>
      </c>
      <c r="J119" s="77">
        <v>4</v>
      </c>
      <c r="K119" s="171">
        <f>SUM(C119:J119)</f>
        <v>4</v>
      </c>
      <c r="L119" s="79">
        <v>0</v>
      </c>
      <c r="M119" s="218">
        <f>K119-L119</f>
        <v>4</v>
      </c>
      <c r="N119" s="81" t="s">
        <v>38</v>
      </c>
      <c r="O119" s="81" t="s">
        <v>38</v>
      </c>
      <c r="P119" s="82" t="s">
        <v>38</v>
      </c>
      <c r="Q119" s="113" t="s">
        <v>38</v>
      </c>
      <c r="R119" s="114" t="s">
        <v>38</v>
      </c>
      <c r="S119" s="113" t="s">
        <v>38</v>
      </c>
      <c r="T119" s="85">
        <v>6</v>
      </c>
      <c r="U119" s="85">
        <v>0</v>
      </c>
      <c r="V119" s="85">
        <f>SUM(T119:U119)</f>
        <v>6</v>
      </c>
      <c r="W119" s="78" t="s">
        <v>38</v>
      </c>
      <c r="X119" s="213">
        <f t="shared" si="73"/>
        <v>0.33333333333333331</v>
      </c>
      <c r="Y119" s="88">
        <v>0</v>
      </c>
      <c r="Z119" s="126">
        <v>0</v>
      </c>
      <c r="AA119" s="89">
        <f>X119-M119</f>
        <v>-3.6666666666666665</v>
      </c>
      <c r="AB119" s="126">
        <v>0</v>
      </c>
      <c r="AC119" s="211">
        <v>0</v>
      </c>
      <c r="AD119" s="128" t="s">
        <v>38</v>
      </c>
      <c r="AE119" s="94" t="s">
        <v>38</v>
      </c>
      <c r="AF119" s="94" t="s">
        <v>38</v>
      </c>
      <c r="AG119" s="94" t="s">
        <v>38</v>
      </c>
      <c r="AH119" s="94" t="s">
        <v>38</v>
      </c>
      <c r="AI119" s="94" t="s">
        <v>38</v>
      </c>
      <c r="AJ119" s="147" t="s">
        <v>38</v>
      </c>
      <c r="AK119" s="147" t="s">
        <v>38</v>
      </c>
      <c r="AL119" s="147" t="s">
        <v>38</v>
      </c>
      <c r="AM119" s="147" t="s">
        <v>38</v>
      </c>
      <c r="AN119" s="147" t="s">
        <v>38</v>
      </c>
      <c r="AO119" s="146"/>
      <c r="AP119" s="63"/>
    </row>
    <row r="120" spans="1:42" ht="21.75" customHeight="1" x14ac:dyDescent="0.2">
      <c r="A120" s="127" t="s">
        <v>180</v>
      </c>
      <c r="B120" s="272"/>
      <c r="C120" s="75" t="s">
        <v>38</v>
      </c>
      <c r="D120" s="75" t="s">
        <v>38</v>
      </c>
      <c r="E120" s="75" t="s">
        <v>38</v>
      </c>
      <c r="F120" s="75" t="s">
        <v>38</v>
      </c>
      <c r="G120" s="76" t="s">
        <v>38</v>
      </c>
      <c r="H120" s="76" t="s">
        <v>38</v>
      </c>
      <c r="I120" s="76" t="s">
        <v>38</v>
      </c>
      <c r="J120" s="77">
        <v>14</v>
      </c>
      <c r="K120" s="171">
        <f t="shared" si="72"/>
        <v>14</v>
      </c>
      <c r="L120" s="79">
        <v>0</v>
      </c>
      <c r="M120" s="218">
        <f t="shared" si="66"/>
        <v>14</v>
      </c>
      <c r="N120" s="81" t="s">
        <v>38</v>
      </c>
      <c r="O120" s="81" t="s">
        <v>38</v>
      </c>
      <c r="P120" s="82" t="s">
        <v>38</v>
      </c>
      <c r="Q120" s="113" t="s">
        <v>38</v>
      </c>
      <c r="R120" s="114" t="s">
        <v>38</v>
      </c>
      <c r="S120" s="113" t="s">
        <v>38</v>
      </c>
      <c r="T120" s="85">
        <v>6</v>
      </c>
      <c r="U120" s="85">
        <v>0</v>
      </c>
      <c r="V120" s="85">
        <f t="shared" si="68"/>
        <v>6</v>
      </c>
      <c r="W120" s="78" t="s">
        <v>38</v>
      </c>
      <c r="X120" s="213">
        <f t="shared" si="73"/>
        <v>0.33333333333333331</v>
      </c>
      <c r="Y120" s="88">
        <v>0</v>
      </c>
      <c r="Z120" s="126">
        <v>0</v>
      </c>
      <c r="AA120" s="89">
        <f t="shared" si="71"/>
        <v>-13.666666666666666</v>
      </c>
      <c r="AB120" s="126">
        <v>0</v>
      </c>
      <c r="AC120" s="211">
        <v>0</v>
      </c>
      <c r="AD120" s="128" t="s">
        <v>38</v>
      </c>
      <c r="AE120" s="94" t="s">
        <v>38</v>
      </c>
      <c r="AF120" s="94" t="s">
        <v>38</v>
      </c>
      <c r="AG120" s="94" t="s">
        <v>38</v>
      </c>
      <c r="AH120" s="94" t="s">
        <v>38</v>
      </c>
      <c r="AI120" s="94" t="s">
        <v>38</v>
      </c>
      <c r="AJ120" s="147" t="s">
        <v>38</v>
      </c>
      <c r="AK120" s="147" t="s">
        <v>38</v>
      </c>
      <c r="AL120" s="147" t="s">
        <v>38</v>
      </c>
      <c r="AM120" s="147" t="s">
        <v>38</v>
      </c>
      <c r="AN120" s="147" t="s">
        <v>38</v>
      </c>
      <c r="AO120" s="146"/>
      <c r="AP120" s="63"/>
    </row>
    <row r="121" spans="1:42" s="58" customFormat="1" ht="21.75" customHeight="1" x14ac:dyDescent="0.2">
      <c r="A121" s="214" t="s">
        <v>202</v>
      </c>
      <c r="B121" s="275"/>
      <c r="C121" s="215">
        <f>SUM(C122:C127)</f>
        <v>0</v>
      </c>
      <c r="D121" s="215">
        <f t="shared" ref="D121:AN121" si="74">SUM(D122:D127)</f>
        <v>0</v>
      </c>
      <c r="E121" s="215">
        <f t="shared" si="74"/>
        <v>0</v>
      </c>
      <c r="F121" s="215">
        <f t="shared" si="74"/>
        <v>0</v>
      </c>
      <c r="G121" s="215">
        <f t="shared" si="74"/>
        <v>0</v>
      </c>
      <c r="H121" s="215">
        <f t="shared" si="74"/>
        <v>0</v>
      </c>
      <c r="I121" s="215">
        <f t="shared" si="74"/>
        <v>0</v>
      </c>
      <c r="J121" s="215">
        <f t="shared" si="74"/>
        <v>0</v>
      </c>
      <c r="K121" s="215">
        <f t="shared" si="74"/>
        <v>0</v>
      </c>
      <c r="L121" s="215">
        <f t="shared" si="74"/>
        <v>0</v>
      </c>
      <c r="M121" s="215">
        <f t="shared" si="74"/>
        <v>0</v>
      </c>
      <c r="N121" s="215">
        <f t="shared" si="74"/>
        <v>0</v>
      </c>
      <c r="O121" s="215">
        <f t="shared" si="74"/>
        <v>0</v>
      </c>
      <c r="P121" s="215">
        <f t="shared" si="74"/>
        <v>0</v>
      </c>
      <c r="Q121" s="215">
        <f t="shared" si="74"/>
        <v>0</v>
      </c>
      <c r="R121" s="215">
        <f t="shared" si="74"/>
        <v>540</v>
      </c>
      <c r="S121" s="215">
        <f t="shared" si="74"/>
        <v>18</v>
      </c>
      <c r="T121" s="215">
        <f t="shared" si="74"/>
        <v>0</v>
      </c>
      <c r="U121" s="215">
        <f t="shared" si="74"/>
        <v>0</v>
      </c>
      <c r="V121" s="215">
        <f t="shared" si="74"/>
        <v>0</v>
      </c>
      <c r="W121" s="215">
        <f t="shared" si="74"/>
        <v>0</v>
      </c>
      <c r="X121" s="215">
        <f t="shared" si="74"/>
        <v>0</v>
      </c>
      <c r="Y121" s="215">
        <f t="shared" si="74"/>
        <v>0</v>
      </c>
      <c r="Z121" s="215">
        <f t="shared" si="74"/>
        <v>0</v>
      </c>
      <c r="AA121" s="215">
        <f t="shared" si="74"/>
        <v>0</v>
      </c>
      <c r="AB121" s="215">
        <f t="shared" si="74"/>
        <v>0</v>
      </c>
      <c r="AC121" s="215">
        <f t="shared" si="74"/>
        <v>0</v>
      </c>
      <c r="AD121" s="215">
        <f t="shared" si="74"/>
        <v>0</v>
      </c>
      <c r="AE121" s="215">
        <f t="shared" si="74"/>
        <v>0</v>
      </c>
      <c r="AF121" s="215">
        <f t="shared" si="74"/>
        <v>0</v>
      </c>
      <c r="AG121" s="215">
        <f t="shared" si="74"/>
        <v>0</v>
      </c>
      <c r="AH121" s="215">
        <f t="shared" si="74"/>
        <v>0</v>
      </c>
      <c r="AI121" s="215">
        <f t="shared" si="74"/>
        <v>0</v>
      </c>
      <c r="AJ121" s="215">
        <f t="shared" si="74"/>
        <v>0</v>
      </c>
      <c r="AK121" s="215">
        <f t="shared" si="74"/>
        <v>18</v>
      </c>
      <c r="AL121" s="215">
        <f t="shared" si="74"/>
        <v>17</v>
      </c>
      <c r="AM121" s="215">
        <f t="shared" si="74"/>
        <v>7</v>
      </c>
      <c r="AN121" s="215">
        <f t="shared" si="74"/>
        <v>0</v>
      </c>
      <c r="AO121" s="216"/>
      <c r="AP121" s="217"/>
    </row>
    <row r="122" spans="1:42" ht="21.75" customHeight="1" x14ac:dyDescent="0.55000000000000004">
      <c r="A122" s="129" t="s">
        <v>10</v>
      </c>
      <c r="B122" s="272"/>
      <c r="C122" s="75">
        <v>0</v>
      </c>
      <c r="D122" s="75">
        <v>0</v>
      </c>
      <c r="E122" s="75">
        <v>0</v>
      </c>
      <c r="F122" s="75">
        <v>0</v>
      </c>
      <c r="G122" s="76">
        <v>0</v>
      </c>
      <c r="H122" s="76">
        <v>0</v>
      </c>
      <c r="I122" s="76">
        <v>0</v>
      </c>
      <c r="J122" s="77">
        <v>0</v>
      </c>
      <c r="K122" s="171">
        <v>0</v>
      </c>
      <c r="L122" s="164">
        <v>0</v>
      </c>
      <c r="M122" s="218">
        <f t="shared" si="66"/>
        <v>0</v>
      </c>
      <c r="N122" s="81" t="s">
        <v>38</v>
      </c>
      <c r="O122" s="81" t="s">
        <v>38</v>
      </c>
      <c r="P122" s="82" t="s">
        <v>38</v>
      </c>
      <c r="Q122" s="113" t="s">
        <v>38</v>
      </c>
      <c r="R122" s="114">
        <v>90</v>
      </c>
      <c r="S122" s="113">
        <f t="shared" ref="S122:S127" si="75">R122/30</f>
        <v>3</v>
      </c>
      <c r="T122" s="85">
        <v>0</v>
      </c>
      <c r="U122" s="85">
        <v>0</v>
      </c>
      <c r="V122" s="85">
        <v>0</v>
      </c>
      <c r="W122" s="78">
        <v>0</v>
      </c>
      <c r="X122" s="210">
        <v>0</v>
      </c>
      <c r="Y122" s="88">
        <v>0</v>
      </c>
      <c r="Z122" s="126">
        <v>0</v>
      </c>
      <c r="AA122" s="126">
        <v>0</v>
      </c>
      <c r="AB122" s="126">
        <v>0</v>
      </c>
      <c r="AC122" s="211">
        <v>0</v>
      </c>
      <c r="AD122" s="219">
        <v>0</v>
      </c>
      <c r="AE122" s="220">
        <v>0</v>
      </c>
      <c r="AF122" s="220">
        <v>0</v>
      </c>
      <c r="AG122" s="220">
        <v>0</v>
      </c>
      <c r="AH122" s="220">
        <v>0</v>
      </c>
      <c r="AI122" s="220">
        <v>0</v>
      </c>
      <c r="AJ122" s="234">
        <v>0</v>
      </c>
      <c r="AK122" s="234">
        <v>2</v>
      </c>
      <c r="AL122" s="234">
        <v>2</v>
      </c>
      <c r="AM122" s="234">
        <v>2</v>
      </c>
      <c r="AN122" s="234">
        <v>0</v>
      </c>
      <c r="AO122" s="146"/>
      <c r="AP122" s="63"/>
    </row>
    <row r="123" spans="1:42" ht="21.75" customHeight="1" x14ac:dyDescent="0.55000000000000004">
      <c r="A123" s="129" t="s">
        <v>11</v>
      </c>
      <c r="B123" s="272"/>
      <c r="C123" s="75">
        <v>0</v>
      </c>
      <c r="D123" s="75">
        <v>0</v>
      </c>
      <c r="E123" s="75">
        <v>0</v>
      </c>
      <c r="F123" s="75">
        <v>0</v>
      </c>
      <c r="G123" s="76">
        <v>0</v>
      </c>
      <c r="H123" s="76">
        <v>0</v>
      </c>
      <c r="I123" s="76">
        <v>0</v>
      </c>
      <c r="J123" s="77">
        <v>0</v>
      </c>
      <c r="K123" s="171">
        <v>0</v>
      </c>
      <c r="L123" s="164">
        <v>0</v>
      </c>
      <c r="M123" s="218">
        <f t="shared" si="66"/>
        <v>0</v>
      </c>
      <c r="N123" s="81" t="s">
        <v>38</v>
      </c>
      <c r="O123" s="81" t="s">
        <v>38</v>
      </c>
      <c r="P123" s="82" t="s">
        <v>38</v>
      </c>
      <c r="Q123" s="113" t="s">
        <v>38</v>
      </c>
      <c r="R123" s="114">
        <v>90</v>
      </c>
      <c r="S123" s="113">
        <f t="shared" si="75"/>
        <v>3</v>
      </c>
      <c r="T123" s="85">
        <v>0</v>
      </c>
      <c r="U123" s="85">
        <v>0</v>
      </c>
      <c r="V123" s="85">
        <v>0</v>
      </c>
      <c r="W123" s="78">
        <v>0</v>
      </c>
      <c r="X123" s="210">
        <v>0</v>
      </c>
      <c r="Y123" s="88">
        <v>0</v>
      </c>
      <c r="Z123" s="126">
        <v>0</v>
      </c>
      <c r="AA123" s="126">
        <v>0</v>
      </c>
      <c r="AB123" s="126">
        <v>0</v>
      </c>
      <c r="AC123" s="211">
        <v>0</v>
      </c>
      <c r="AD123" s="219">
        <v>0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234">
        <v>0</v>
      </c>
      <c r="AK123" s="234">
        <v>2</v>
      </c>
      <c r="AL123" s="234">
        <v>2</v>
      </c>
      <c r="AM123" s="234">
        <v>1</v>
      </c>
      <c r="AN123" s="234">
        <v>0</v>
      </c>
      <c r="AO123" s="146"/>
      <c r="AP123" s="63"/>
    </row>
    <row r="124" spans="1:42" ht="21.75" customHeight="1" x14ac:dyDescent="0.55000000000000004">
      <c r="A124" s="129" t="s">
        <v>201</v>
      </c>
      <c r="B124" s="272"/>
      <c r="C124" s="75">
        <v>0</v>
      </c>
      <c r="D124" s="75">
        <v>0</v>
      </c>
      <c r="E124" s="75">
        <v>0</v>
      </c>
      <c r="F124" s="75">
        <v>0</v>
      </c>
      <c r="G124" s="76">
        <v>0</v>
      </c>
      <c r="H124" s="76">
        <v>0</v>
      </c>
      <c r="I124" s="76">
        <v>0</v>
      </c>
      <c r="J124" s="77">
        <v>0</v>
      </c>
      <c r="K124" s="171">
        <v>0</v>
      </c>
      <c r="L124" s="164">
        <v>0</v>
      </c>
      <c r="M124" s="218">
        <f t="shared" si="66"/>
        <v>0</v>
      </c>
      <c r="N124" s="81" t="s">
        <v>38</v>
      </c>
      <c r="O124" s="81" t="s">
        <v>38</v>
      </c>
      <c r="P124" s="82" t="s">
        <v>38</v>
      </c>
      <c r="Q124" s="113" t="s">
        <v>38</v>
      </c>
      <c r="R124" s="114">
        <v>90</v>
      </c>
      <c r="S124" s="113">
        <f t="shared" si="75"/>
        <v>3</v>
      </c>
      <c r="T124" s="85">
        <v>0</v>
      </c>
      <c r="U124" s="85">
        <v>0</v>
      </c>
      <c r="V124" s="85">
        <v>0</v>
      </c>
      <c r="W124" s="78">
        <v>0</v>
      </c>
      <c r="X124" s="210">
        <v>0</v>
      </c>
      <c r="Y124" s="88">
        <v>0</v>
      </c>
      <c r="Z124" s="126">
        <v>0</v>
      </c>
      <c r="AA124" s="126">
        <v>0</v>
      </c>
      <c r="AB124" s="126">
        <v>0</v>
      </c>
      <c r="AC124" s="211">
        <v>0</v>
      </c>
      <c r="AD124" s="219">
        <v>0</v>
      </c>
      <c r="AE124" s="220">
        <v>0</v>
      </c>
      <c r="AF124" s="220">
        <v>0</v>
      </c>
      <c r="AG124" s="220">
        <v>0</v>
      </c>
      <c r="AH124" s="220">
        <v>0</v>
      </c>
      <c r="AI124" s="220">
        <v>0</v>
      </c>
      <c r="AJ124" s="234">
        <v>0</v>
      </c>
      <c r="AK124" s="234">
        <v>2</v>
      </c>
      <c r="AL124" s="234">
        <v>2</v>
      </c>
      <c r="AM124" s="234">
        <v>1</v>
      </c>
      <c r="AN124" s="234">
        <v>0</v>
      </c>
      <c r="AO124" s="146"/>
      <c r="AP124" s="63"/>
    </row>
    <row r="125" spans="1:42" ht="21.75" customHeight="1" x14ac:dyDescent="0.55000000000000004">
      <c r="A125" s="129" t="s">
        <v>203</v>
      </c>
      <c r="B125" s="272"/>
      <c r="C125" s="75">
        <v>0</v>
      </c>
      <c r="D125" s="75">
        <v>0</v>
      </c>
      <c r="E125" s="75">
        <v>0</v>
      </c>
      <c r="F125" s="75">
        <v>0</v>
      </c>
      <c r="G125" s="76">
        <v>0</v>
      </c>
      <c r="H125" s="76">
        <v>0</v>
      </c>
      <c r="I125" s="76">
        <v>0</v>
      </c>
      <c r="J125" s="77">
        <v>0</v>
      </c>
      <c r="K125" s="171">
        <v>0</v>
      </c>
      <c r="L125" s="164">
        <v>0</v>
      </c>
      <c r="M125" s="218">
        <f t="shared" si="66"/>
        <v>0</v>
      </c>
      <c r="N125" s="81" t="s">
        <v>38</v>
      </c>
      <c r="O125" s="81" t="s">
        <v>38</v>
      </c>
      <c r="P125" s="82" t="s">
        <v>38</v>
      </c>
      <c r="Q125" s="113" t="s">
        <v>38</v>
      </c>
      <c r="R125" s="114">
        <v>90</v>
      </c>
      <c r="S125" s="113">
        <f t="shared" si="75"/>
        <v>3</v>
      </c>
      <c r="T125" s="85">
        <v>0</v>
      </c>
      <c r="U125" s="85">
        <v>0</v>
      </c>
      <c r="V125" s="85">
        <v>0</v>
      </c>
      <c r="W125" s="78">
        <v>0</v>
      </c>
      <c r="X125" s="210">
        <v>0</v>
      </c>
      <c r="Y125" s="88">
        <v>0</v>
      </c>
      <c r="Z125" s="126">
        <v>0</v>
      </c>
      <c r="AA125" s="126">
        <v>0</v>
      </c>
      <c r="AB125" s="126">
        <v>0</v>
      </c>
      <c r="AC125" s="211">
        <v>0</v>
      </c>
      <c r="AD125" s="219">
        <v>0</v>
      </c>
      <c r="AE125" s="220">
        <v>0</v>
      </c>
      <c r="AF125" s="220">
        <v>0</v>
      </c>
      <c r="AG125" s="220">
        <v>0</v>
      </c>
      <c r="AH125" s="220">
        <v>0</v>
      </c>
      <c r="AI125" s="220">
        <v>0</v>
      </c>
      <c r="AJ125" s="234">
        <v>0</v>
      </c>
      <c r="AK125" s="234">
        <v>3</v>
      </c>
      <c r="AL125" s="234">
        <v>3</v>
      </c>
      <c r="AM125" s="234">
        <v>1</v>
      </c>
      <c r="AN125" s="234">
        <v>0</v>
      </c>
      <c r="AO125" s="146"/>
      <c r="AP125" s="63"/>
    </row>
    <row r="126" spans="1:42" ht="21.75" customHeight="1" x14ac:dyDescent="0.55000000000000004">
      <c r="A126" s="129" t="s">
        <v>204</v>
      </c>
      <c r="B126" s="272"/>
      <c r="C126" s="75">
        <v>0</v>
      </c>
      <c r="D126" s="75">
        <v>0</v>
      </c>
      <c r="E126" s="75">
        <v>0</v>
      </c>
      <c r="F126" s="75">
        <v>0</v>
      </c>
      <c r="G126" s="76">
        <v>0</v>
      </c>
      <c r="H126" s="76">
        <v>0</v>
      </c>
      <c r="I126" s="76">
        <v>0</v>
      </c>
      <c r="J126" s="77">
        <v>0</v>
      </c>
      <c r="K126" s="171">
        <v>0</v>
      </c>
      <c r="L126" s="164">
        <v>0</v>
      </c>
      <c r="M126" s="218">
        <f t="shared" si="66"/>
        <v>0</v>
      </c>
      <c r="N126" s="81" t="s">
        <v>38</v>
      </c>
      <c r="O126" s="81" t="s">
        <v>38</v>
      </c>
      <c r="P126" s="82" t="s">
        <v>38</v>
      </c>
      <c r="Q126" s="113" t="s">
        <v>38</v>
      </c>
      <c r="R126" s="114">
        <v>90</v>
      </c>
      <c r="S126" s="113">
        <f t="shared" si="75"/>
        <v>3</v>
      </c>
      <c r="T126" s="85">
        <v>0</v>
      </c>
      <c r="U126" s="85">
        <v>0</v>
      </c>
      <c r="V126" s="85">
        <v>0</v>
      </c>
      <c r="W126" s="78">
        <v>0</v>
      </c>
      <c r="X126" s="210">
        <v>0</v>
      </c>
      <c r="Y126" s="88">
        <v>0</v>
      </c>
      <c r="Z126" s="126">
        <v>0</v>
      </c>
      <c r="AA126" s="126">
        <v>0</v>
      </c>
      <c r="AB126" s="126">
        <v>0</v>
      </c>
      <c r="AC126" s="211">
        <v>0</v>
      </c>
      <c r="AD126" s="219">
        <v>0</v>
      </c>
      <c r="AE126" s="220">
        <v>0</v>
      </c>
      <c r="AF126" s="220">
        <v>0</v>
      </c>
      <c r="AG126" s="220">
        <v>0</v>
      </c>
      <c r="AH126" s="220">
        <v>0</v>
      </c>
      <c r="AI126" s="220">
        <v>0</v>
      </c>
      <c r="AJ126" s="234">
        <v>0</v>
      </c>
      <c r="AK126" s="234">
        <v>2</v>
      </c>
      <c r="AL126" s="234">
        <v>2</v>
      </c>
      <c r="AM126" s="234">
        <v>1</v>
      </c>
      <c r="AN126" s="234">
        <v>0</v>
      </c>
      <c r="AO126" s="146"/>
      <c r="AP126" s="63"/>
    </row>
    <row r="127" spans="1:42" ht="21.75" customHeight="1" x14ac:dyDescent="0.55000000000000004">
      <c r="A127" s="129" t="s">
        <v>205</v>
      </c>
      <c r="B127" s="272"/>
      <c r="C127" s="75">
        <v>0</v>
      </c>
      <c r="D127" s="75">
        <v>0</v>
      </c>
      <c r="E127" s="75">
        <v>0</v>
      </c>
      <c r="F127" s="75">
        <v>0</v>
      </c>
      <c r="G127" s="76">
        <v>0</v>
      </c>
      <c r="H127" s="76">
        <v>0</v>
      </c>
      <c r="I127" s="76">
        <v>0</v>
      </c>
      <c r="J127" s="77">
        <v>0</v>
      </c>
      <c r="K127" s="171">
        <v>0</v>
      </c>
      <c r="L127" s="164">
        <v>0</v>
      </c>
      <c r="M127" s="218">
        <f t="shared" si="66"/>
        <v>0</v>
      </c>
      <c r="N127" s="81" t="s">
        <v>38</v>
      </c>
      <c r="O127" s="81" t="s">
        <v>38</v>
      </c>
      <c r="P127" s="82" t="s">
        <v>38</v>
      </c>
      <c r="Q127" s="113" t="s">
        <v>38</v>
      </c>
      <c r="R127" s="114">
        <v>90</v>
      </c>
      <c r="S127" s="113">
        <f t="shared" si="75"/>
        <v>3</v>
      </c>
      <c r="T127" s="85">
        <v>0</v>
      </c>
      <c r="U127" s="85">
        <v>0</v>
      </c>
      <c r="V127" s="85">
        <v>0</v>
      </c>
      <c r="W127" s="78">
        <v>0</v>
      </c>
      <c r="X127" s="210">
        <v>0</v>
      </c>
      <c r="Y127" s="88">
        <v>0</v>
      </c>
      <c r="Z127" s="126">
        <v>0</v>
      </c>
      <c r="AA127" s="126">
        <v>0</v>
      </c>
      <c r="AB127" s="126">
        <v>0</v>
      </c>
      <c r="AC127" s="211">
        <v>0</v>
      </c>
      <c r="AD127" s="219">
        <v>0</v>
      </c>
      <c r="AE127" s="220">
        <v>0</v>
      </c>
      <c r="AF127" s="220">
        <v>0</v>
      </c>
      <c r="AG127" s="220">
        <v>0</v>
      </c>
      <c r="AH127" s="220">
        <v>0</v>
      </c>
      <c r="AI127" s="220">
        <v>0</v>
      </c>
      <c r="AJ127" s="234">
        <v>0</v>
      </c>
      <c r="AK127" s="234">
        <v>7</v>
      </c>
      <c r="AL127" s="234">
        <v>6</v>
      </c>
      <c r="AM127" s="234">
        <v>1</v>
      </c>
      <c r="AN127" s="234">
        <v>0</v>
      </c>
      <c r="AO127" s="146"/>
      <c r="AP127" s="63"/>
    </row>
    <row r="128" spans="1:42" s="20" customFormat="1" ht="21.75" customHeight="1" x14ac:dyDescent="0.2">
      <c r="A128" s="221" t="s">
        <v>0</v>
      </c>
      <c r="B128" s="276"/>
      <c r="C128" s="139">
        <f t="shared" ref="C128:AN128" si="76">C100+C20+C46+C73+C90+C106+C6+C108+C121</f>
        <v>0</v>
      </c>
      <c r="D128" s="139">
        <f t="shared" si="76"/>
        <v>17</v>
      </c>
      <c r="E128" s="139">
        <f t="shared" si="76"/>
        <v>75</v>
      </c>
      <c r="F128" s="139">
        <f t="shared" si="76"/>
        <v>43</v>
      </c>
      <c r="G128" s="139">
        <f t="shared" si="76"/>
        <v>0</v>
      </c>
      <c r="H128" s="139">
        <f t="shared" si="76"/>
        <v>3</v>
      </c>
      <c r="I128" s="139">
        <f t="shared" si="76"/>
        <v>145</v>
      </c>
      <c r="J128" s="139">
        <f t="shared" si="76"/>
        <v>322</v>
      </c>
      <c r="K128" s="139">
        <f t="shared" si="76"/>
        <v>605</v>
      </c>
      <c r="L128" s="139">
        <f t="shared" si="76"/>
        <v>18</v>
      </c>
      <c r="M128" s="139">
        <f t="shared" si="76"/>
        <v>587</v>
      </c>
      <c r="N128" s="222">
        <f t="shared" si="76"/>
        <v>9877.0749999999989</v>
      </c>
      <c r="O128" s="222">
        <f t="shared" si="76"/>
        <v>571.28211111111113</v>
      </c>
      <c r="P128" s="222">
        <f t="shared" si="76"/>
        <v>10448.35711111111</v>
      </c>
      <c r="Q128" s="139">
        <f t="shared" si="76"/>
        <v>433.34236592592595</v>
      </c>
      <c r="R128" s="222">
        <f t="shared" si="76"/>
        <v>11617.774966666666</v>
      </c>
      <c r="S128" s="139">
        <f t="shared" si="76"/>
        <v>485.52903422222221</v>
      </c>
      <c r="T128" s="222">
        <f t="shared" si="76"/>
        <v>15755</v>
      </c>
      <c r="U128" s="222">
        <f t="shared" si="76"/>
        <v>459</v>
      </c>
      <c r="V128" s="222">
        <f t="shared" si="76"/>
        <v>16214</v>
      </c>
      <c r="W128" s="222">
        <f t="shared" si="76"/>
        <v>8107</v>
      </c>
      <c r="X128" s="139">
        <f t="shared" si="76"/>
        <v>483.14523809523808</v>
      </c>
      <c r="Y128" s="139">
        <f t="shared" si="76"/>
        <v>579.07142857142856</v>
      </c>
      <c r="Z128" s="223">
        <f t="shared" si="76"/>
        <v>-146.53513407407408</v>
      </c>
      <c r="AA128" s="223">
        <f t="shared" si="76"/>
        <v>-93.997619047619054</v>
      </c>
      <c r="AB128" s="223">
        <f t="shared" si="76"/>
        <v>45.928571428571431</v>
      </c>
      <c r="AC128" s="139">
        <f t="shared" si="76"/>
        <v>423</v>
      </c>
      <c r="AD128" s="139">
        <f t="shared" si="76"/>
        <v>67.455085069444436</v>
      </c>
      <c r="AE128" s="139">
        <f t="shared" si="76"/>
        <v>9</v>
      </c>
      <c r="AF128" s="139">
        <f t="shared" si="76"/>
        <v>7</v>
      </c>
      <c r="AG128" s="139">
        <f t="shared" si="76"/>
        <v>11</v>
      </c>
      <c r="AH128" s="139">
        <f t="shared" si="76"/>
        <v>8</v>
      </c>
      <c r="AI128" s="139">
        <f t="shared" si="76"/>
        <v>7</v>
      </c>
      <c r="AJ128" s="139">
        <f t="shared" si="76"/>
        <v>0</v>
      </c>
      <c r="AK128" s="139">
        <f t="shared" si="76"/>
        <v>24</v>
      </c>
      <c r="AL128" s="139">
        <f t="shared" si="76"/>
        <v>26</v>
      </c>
      <c r="AM128" s="139">
        <f t="shared" si="76"/>
        <v>16</v>
      </c>
      <c r="AN128" s="139">
        <f t="shared" si="76"/>
        <v>9</v>
      </c>
      <c r="AO128" s="221"/>
      <c r="AP128" s="224"/>
    </row>
    <row r="129" spans="1:42" ht="21.75" customHeight="1" x14ac:dyDescent="0.2">
      <c r="A129" s="225" t="s">
        <v>250</v>
      </c>
      <c r="B129" s="277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50"/>
      <c r="N129" s="227"/>
      <c r="O129" s="228"/>
      <c r="P129" s="227"/>
      <c r="Q129" s="228"/>
      <c r="R129" s="228"/>
      <c r="S129" s="228"/>
      <c r="T129" s="226"/>
      <c r="U129" s="226"/>
      <c r="V129" s="226"/>
      <c r="W129" s="226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9"/>
      <c r="AP129" s="63"/>
    </row>
    <row r="130" spans="1:42" x14ac:dyDescent="0.2">
      <c r="A130" s="6"/>
      <c r="B130" s="278"/>
      <c r="P130" s="34"/>
      <c r="X130" s="2"/>
      <c r="AC130" s="34"/>
      <c r="AD130" s="34"/>
      <c r="AE130" s="4"/>
      <c r="AF130" s="4"/>
      <c r="AG130" s="4"/>
      <c r="AH130" s="5"/>
      <c r="AI130" s="5"/>
      <c r="AJ130" s="4"/>
      <c r="AK130" s="4"/>
      <c r="AL130" s="4"/>
      <c r="AM130" s="4"/>
      <c r="AN130" s="5"/>
      <c r="AO130" s="5"/>
    </row>
    <row r="131" spans="1:42" x14ac:dyDescent="0.2">
      <c r="X131" s="2"/>
      <c r="AC131" s="34"/>
      <c r="AD131" s="34"/>
      <c r="AJ131" s="2"/>
      <c r="AK131" s="2"/>
      <c r="AL131" s="2"/>
      <c r="AM131" s="2"/>
      <c r="AN131" s="2"/>
    </row>
  </sheetData>
  <mergeCells count="56">
    <mergeCell ref="A55:A58"/>
    <mergeCell ref="A65:A67"/>
    <mergeCell ref="A77:A81"/>
    <mergeCell ref="A84:A85"/>
    <mergeCell ref="A88:A89"/>
    <mergeCell ref="A101:A103"/>
    <mergeCell ref="A30:A33"/>
    <mergeCell ref="A35:A38"/>
    <mergeCell ref="A39:A41"/>
    <mergeCell ref="A48:A50"/>
    <mergeCell ref="A51:A52"/>
    <mergeCell ref="A53:A54"/>
    <mergeCell ref="A13:A14"/>
    <mergeCell ref="A15:A16"/>
    <mergeCell ref="AG4:AG5"/>
    <mergeCell ref="AH4:AH5"/>
    <mergeCell ref="AE4:AE5"/>
    <mergeCell ref="AF4:AF5"/>
    <mergeCell ref="AC3:AC5"/>
    <mergeCell ref="AD3:AD5"/>
    <mergeCell ref="AK4:AK5"/>
    <mergeCell ref="AL4:AL5"/>
    <mergeCell ref="Y3:Y5"/>
    <mergeCell ref="Z3:AB3"/>
    <mergeCell ref="A7:A8"/>
    <mergeCell ref="A11:A12"/>
    <mergeCell ref="A1:AO1"/>
    <mergeCell ref="A2:AO2"/>
    <mergeCell ref="A3:A5"/>
    <mergeCell ref="B3:B5"/>
    <mergeCell ref="C3:K3"/>
    <mergeCell ref="L3:L5"/>
    <mergeCell ref="AO3:AO5"/>
    <mergeCell ref="C4:F4"/>
    <mergeCell ref="G4:J4"/>
    <mergeCell ref="K4:K5"/>
    <mergeCell ref="M3:M5"/>
    <mergeCell ref="N3:P3"/>
    <mergeCell ref="Q3:Q5"/>
    <mergeCell ref="R3:R5"/>
    <mergeCell ref="W3:W5"/>
    <mergeCell ref="X3:X5"/>
    <mergeCell ref="P4:P5"/>
    <mergeCell ref="T4:T5"/>
    <mergeCell ref="N4:N5"/>
    <mergeCell ref="O4:O5"/>
    <mergeCell ref="U4:U5"/>
    <mergeCell ref="V4:V5"/>
    <mergeCell ref="S3:S5"/>
    <mergeCell ref="T3:V3"/>
    <mergeCell ref="AE3:AI3"/>
    <mergeCell ref="AJ3:AN3"/>
    <mergeCell ref="AM4:AM5"/>
    <mergeCell ref="AN4:AN5"/>
    <mergeCell ref="AI4:AI5"/>
    <mergeCell ref="AJ4:AJ5"/>
  </mergeCells>
  <printOptions horizontalCentered="1"/>
  <pageMargins left="0.25" right="0.25" top="0.75" bottom="0.75" header="0.3" footer="0.3"/>
  <pageSetup paperSize="5" scale="4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AP131"/>
  <sheetViews>
    <sheetView zoomScaleNormal="100" zoomScaleSheetLayoutView="100" workbookViewId="0">
      <selection activeCell="U9" sqref="U9"/>
    </sheetView>
  </sheetViews>
  <sheetFormatPr defaultColWidth="8.375" defaultRowHeight="20.25" x14ac:dyDescent="0.2"/>
  <cols>
    <col min="1" max="1" width="32.375" style="2" customWidth="1"/>
    <col min="2" max="2" width="30.875" style="279" bestFit="1" customWidth="1"/>
    <col min="3" max="3" width="4.125" style="34" bestFit="1" customWidth="1"/>
    <col min="4" max="8" width="4.375" style="34" customWidth="1"/>
    <col min="9" max="9" width="5.25" style="34" bestFit="1" customWidth="1"/>
    <col min="10" max="10" width="5" style="34" bestFit="1" customWidth="1"/>
    <col min="11" max="11" width="8" style="34" bestFit="1" customWidth="1"/>
    <col min="12" max="12" width="9.875" style="34" customWidth="1"/>
    <col min="13" max="13" width="8.875" style="41" customWidth="1"/>
    <col min="14" max="14" width="13" style="34" bestFit="1" customWidth="1"/>
    <col min="15" max="15" width="10" style="34" customWidth="1"/>
    <col min="16" max="16" width="13" style="31" bestFit="1" customWidth="1"/>
    <col min="17" max="17" width="8.75" style="2" customWidth="1"/>
    <col min="18" max="18" width="10.75" style="2" bestFit="1" customWidth="1"/>
    <col min="19" max="19" width="8.125" style="34" customWidth="1"/>
    <col min="20" max="20" width="10.375" style="32" bestFit="1" customWidth="1"/>
    <col min="21" max="21" width="8.125" style="32" customWidth="1"/>
    <col min="22" max="22" width="10.375" style="32" bestFit="1" customWidth="1"/>
    <col min="23" max="23" width="10.375" style="32" customWidth="1"/>
    <col min="24" max="24" width="8.875" style="54" customWidth="1"/>
    <col min="25" max="25" width="8.625" style="2" customWidth="1"/>
    <col min="26" max="26" width="7.125" style="2" customWidth="1"/>
    <col min="27" max="27" width="8" style="2" customWidth="1"/>
    <col min="28" max="28" width="9" style="34" bestFit="1" customWidth="1"/>
    <col min="29" max="29" width="9" style="53" customWidth="1"/>
    <col min="30" max="30" width="9.625" style="52" bestFit="1" customWidth="1"/>
    <col min="31" max="33" width="4.875" style="2" bestFit="1" customWidth="1"/>
    <col min="34" max="34" width="4.375" style="2" customWidth="1"/>
    <col min="35" max="35" width="3.75" style="2" customWidth="1"/>
    <col min="36" max="40" width="4.875" style="15" bestFit="1" customWidth="1"/>
    <col min="41" max="41" width="36.375" style="2" bestFit="1" customWidth="1"/>
    <col min="42" max="16384" width="8.375" style="2"/>
  </cols>
  <sheetData>
    <row r="1" spans="1:42" ht="28.5" customHeight="1" x14ac:dyDescent="0.2">
      <c r="A1" s="394" t="s">
        <v>197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63" t="s">
        <v>196</v>
      </c>
    </row>
    <row r="2" spans="1:42" ht="24" x14ac:dyDescent="0.2">
      <c r="A2" s="394" t="s">
        <v>195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63"/>
    </row>
    <row r="3" spans="1:42" s="231" customFormat="1" ht="45" customHeight="1" x14ac:dyDescent="0.2">
      <c r="A3" s="361" t="s">
        <v>200</v>
      </c>
      <c r="B3" s="361" t="s">
        <v>142</v>
      </c>
      <c r="C3" s="395" t="s">
        <v>143</v>
      </c>
      <c r="D3" s="396"/>
      <c r="E3" s="396"/>
      <c r="F3" s="396"/>
      <c r="G3" s="396"/>
      <c r="H3" s="396"/>
      <c r="I3" s="396"/>
      <c r="J3" s="396"/>
      <c r="K3" s="396"/>
      <c r="L3" s="397" t="s">
        <v>144</v>
      </c>
      <c r="M3" s="386" t="s">
        <v>145</v>
      </c>
      <c r="N3" s="382" t="s">
        <v>146</v>
      </c>
      <c r="O3" s="382"/>
      <c r="P3" s="382"/>
      <c r="Q3" s="380" t="s">
        <v>147</v>
      </c>
      <c r="R3" s="387" t="s">
        <v>148</v>
      </c>
      <c r="S3" s="380" t="s">
        <v>149</v>
      </c>
      <c r="T3" s="381" t="s">
        <v>150</v>
      </c>
      <c r="U3" s="381"/>
      <c r="V3" s="381"/>
      <c r="W3" s="381" t="s">
        <v>151</v>
      </c>
      <c r="X3" s="390" t="s">
        <v>152</v>
      </c>
      <c r="Y3" s="400" t="s">
        <v>153</v>
      </c>
      <c r="Z3" s="382" t="s">
        <v>154</v>
      </c>
      <c r="AA3" s="382"/>
      <c r="AB3" s="382"/>
      <c r="AC3" s="401" t="s">
        <v>155</v>
      </c>
      <c r="AD3" s="402" t="s">
        <v>156</v>
      </c>
      <c r="AE3" s="382" t="s">
        <v>157</v>
      </c>
      <c r="AF3" s="383"/>
      <c r="AG3" s="383"/>
      <c r="AH3" s="383"/>
      <c r="AI3" s="383"/>
      <c r="AJ3" s="384" t="s">
        <v>158</v>
      </c>
      <c r="AK3" s="385"/>
      <c r="AL3" s="385"/>
      <c r="AM3" s="385"/>
      <c r="AN3" s="385"/>
      <c r="AO3" s="353" t="s">
        <v>159</v>
      </c>
    </row>
    <row r="4" spans="1:42" s="231" customFormat="1" ht="20.25" customHeight="1" x14ac:dyDescent="0.2">
      <c r="A4" s="361"/>
      <c r="B4" s="361"/>
      <c r="C4" s="398" t="s">
        <v>1</v>
      </c>
      <c r="D4" s="398"/>
      <c r="E4" s="398"/>
      <c r="F4" s="398"/>
      <c r="G4" s="398" t="s">
        <v>2</v>
      </c>
      <c r="H4" s="398"/>
      <c r="I4" s="398"/>
      <c r="J4" s="398"/>
      <c r="K4" s="382" t="s">
        <v>0</v>
      </c>
      <c r="L4" s="397"/>
      <c r="M4" s="386"/>
      <c r="N4" s="399" t="s">
        <v>9</v>
      </c>
      <c r="O4" s="399" t="s">
        <v>13</v>
      </c>
      <c r="P4" s="391" t="s">
        <v>14</v>
      </c>
      <c r="Q4" s="380"/>
      <c r="R4" s="388"/>
      <c r="S4" s="380"/>
      <c r="T4" s="378" t="s">
        <v>3</v>
      </c>
      <c r="U4" s="378" t="s">
        <v>28</v>
      </c>
      <c r="V4" s="379" t="s">
        <v>29</v>
      </c>
      <c r="W4" s="381"/>
      <c r="X4" s="390"/>
      <c r="Y4" s="400"/>
      <c r="Z4" s="230" t="s">
        <v>4</v>
      </c>
      <c r="AA4" s="230" t="s">
        <v>125</v>
      </c>
      <c r="AB4" s="230" t="s">
        <v>126</v>
      </c>
      <c r="AC4" s="401"/>
      <c r="AD4" s="402"/>
      <c r="AE4" s="393">
        <v>2564</v>
      </c>
      <c r="AF4" s="393">
        <v>2565</v>
      </c>
      <c r="AG4" s="393">
        <v>2566</v>
      </c>
      <c r="AH4" s="393">
        <v>2567</v>
      </c>
      <c r="AI4" s="393">
        <v>2568</v>
      </c>
      <c r="AJ4" s="392">
        <v>2564</v>
      </c>
      <c r="AK4" s="392">
        <v>2565</v>
      </c>
      <c r="AL4" s="392">
        <v>2566</v>
      </c>
      <c r="AM4" s="392">
        <v>2567</v>
      </c>
      <c r="AN4" s="392">
        <v>2568</v>
      </c>
      <c r="AO4" s="353"/>
    </row>
    <row r="5" spans="1:42" s="231" customFormat="1" ht="37.5" x14ac:dyDescent="0.2">
      <c r="A5" s="361"/>
      <c r="B5" s="361"/>
      <c r="C5" s="311" t="s">
        <v>5</v>
      </c>
      <c r="D5" s="311" t="s">
        <v>6</v>
      </c>
      <c r="E5" s="311" t="s">
        <v>7</v>
      </c>
      <c r="F5" s="311" t="s">
        <v>8</v>
      </c>
      <c r="G5" s="311" t="s">
        <v>5</v>
      </c>
      <c r="H5" s="311" t="s">
        <v>6</v>
      </c>
      <c r="I5" s="311" t="s">
        <v>7</v>
      </c>
      <c r="J5" s="311" t="s">
        <v>8</v>
      </c>
      <c r="K5" s="382"/>
      <c r="L5" s="397"/>
      <c r="M5" s="386"/>
      <c r="N5" s="399"/>
      <c r="O5" s="399"/>
      <c r="P5" s="391"/>
      <c r="Q5" s="380"/>
      <c r="R5" s="389"/>
      <c r="S5" s="380"/>
      <c r="T5" s="378"/>
      <c r="U5" s="378"/>
      <c r="V5" s="379"/>
      <c r="W5" s="381"/>
      <c r="X5" s="390"/>
      <c r="Y5" s="400"/>
      <c r="Z5" s="230" t="s">
        <v>160</v>
      </c>
      <c r="AA5" s="230" t="s">
        <v>161</v>
      </c>
      <c r="AB5" s="230" t="s">
        <v>162</v>
      </c>
      <c r="AC5" s="401"/>
      <c r="AD5" s="402"/>
      <c r="AE5" s="393"/>
      <c r="AF5" s="393"/>
      <c r="AG5" s="393"/>
      <c r="AH5" s="393"/>
      <c r="AI5" s="393"/>
      <c r="AJ5" s="392"/>
      <c r="AK5" s="392"/>
      <c r="AL5" s="392"/>
      <c r="AM5" s="392"/>
      <c r="AN5" s="392"/>
      <c r="AO5" s="354"/>
    </row>
    <row r="6" spans="1:42" s="9" customFormat="1" ht="21.95" customHeight="1" x14ac:dyDescent="0.2">
      <c r="A6" s="64" t="s">
        <v>45</v>
      </c>
      <c r="B6" s="261"/>
      <c r="C6" s="65">
        <f t="shared" ref="C6:AD6" si="0">SUM(C7:C18)</f>
        <v>0</v>
      </c>
      <c r="D6" s="65">
        <f t="shared" si="0"/>
        <v>3</v>
      </c>
      <c r="E6" s="65">
        <f t="shared" si="0"/>
        <v>19</v>
      </c>
      <c r="F6" s="65">
        <f t="shared" si="0"/>
        <v>4</v>
      </c>
      <c r="G6" s="65">
        <f t="shared" si="0"/>
        <v>0</v>
      </c>
      <c r="H6" s="65">
        <f t="shared" si="0"/>
        <v>0</v>
      </c>
      <c r="I6" s="65">
        <f t="shared" si="0"/>
        <v>15</v>
      </c>
      <c r="J6" s="65">
        <f t="shared" si="0"/>
        <v>22</v>
      </c>
      <c r="K6" s="65">
        <f t="shared" si="0"/>
        <v>63</v>
      </c>
      <c r="L6" s="65">
        <f t="shared" si="0"/>
        <v>1</v>
      </c>
      <c r="M6" s="65">
        <f t="shared" si="0"/>
        <v>62</v>
      </c>
      <c r="N6" s="67">
        <f t="shared" si="0"/>
        <v>672.86111111111063</v>
      </c>
      <c r="O6" s="67">
        <f t="shared" si="0"/>
        <v>346.51111111111106</v>
      </c>
      <c r="P6" s="251">
        <f t="shared" si="0"/>
        <v>1019.3722222222218</v>
      </c>
      <c r="Q6" s="68">
        <f t="shared" si="0"/>
        <v>33.979074074074056</v>
      </c>
      <c r="R6" s="68">
        <f t="shared" si="0"/>
        <v>1070.340833333333</v>
      </c>
      <c r="S6" s="68">
        <f t="shared" si="0"/>
        <v>35.678027777777757</v>
      </c>
      <c r="T6" s="256">
        <f t="shared" si="0"/>
        <v>1940</v>
      </c>
      <c r="U6" s="256">
        <f t="shared" si="0"/>
        <v>192</v>
      </c>
      <c r="V6" s="256">
        <f t="shared" si="0"/>
        <v>2132</v>
      </c>
      <c r="W6" s="256">
        <f t="shared" si="0"/>
        <v>1066</v>
      </c>
      <c r="X6" s="65">
        <f t="shared" si="0"/>
        <v>80.802380952380943</v>
      </c>
      <c r="Y6" s="65">
        <f t="shared" si="0"/>
        <v>76.142857142857153</v>
      </c>
      <c r="Z6" s="69">
        <f t="shared" si="0"/>
        <v>-27.898425925925942</v>
      </c>
      <c r="AA6" s="69">
        <f t="shared" si="0"/>
        <v>18.888095238095239</v>
      </c>
      <c r="AB6" s="69">
        <f t="shared" si="0"/>
        <v>14.000000000000002</v>
      </c>
      <c r="AC6" s="68">
        <f t="shared" si="0"/>
        <v>46</v>
      </c>
      <c r="AD6" s="68">
        <f t="shared" si="0"/>
        <v>33.979074074074056</v>
      </c>
      <c r="AE6" s="65">
        <f t="shared" ref="AE6:AN6" si="1">SUM(AE7:AE18)</f>
        <v>1</v>
      </c>
      <c r="AF6" s="65">
        <f t="shared" si="1"/>
        <v>1</v>
      </c>
      <c r="AG6" s="65">
        <f t="shared" si="1"/>
        <v>5</v>
      </c>
      <c r="AH6" s="65">
        <f t="shared" si="1"/>
        <v>1</v>
      </c>
      <c r="AI6" s="65">
        <f t="shared" si="1"/>
        <v>0</v>
      </c>
      <c r="AJ6" s="65">
        <f t="shared" si="1"/>
        <v>0</v>
      </c>
      <c r="AK6" s="65">
        <f t="shared" si="1"/>
        <v>0</v>
      </c>
      <c r="AL6" s="65">
        <f t="shared" si="1"/>
        <v>0</v>
      </c>
      <c r="AM6" s="65">
        <f t="shared" si="1"/>
        <v>0</v>
      </c>
      <c r="AN6" s="65">
        <f t="shared" si="1"/>
        <v>0</v>
      </c>
      <c r="AO6" s="71"/>
      <c r="AP6" s="72"/>
    </row>
    <row r="7" spans="1:42" s="7" customFormat="1" ht="21.95" customHeight="1" x14ac:dyDescent="0.2">
      <c r="A7" s="348" t="s">
        <v>44</v>
      </c>
      <c r="B7" s="262" t="s">
        <v>18</v>
      </c>
      <c r="C7" s="75" t="s">
        <v>38</v>
      </c>
      <c r="D7" s="75" t="s">
        <v>38</v>
      </c>
      <c r="E7" s="75">
        <v>2</v>
      </c>
      <c r="F7" s="75" t="s">
        <v>38</v>
      </c>
      <c r="G7" s="76" t="s">
        <v>38</v>
      </c>
      <c r="H7" s="76" t="s">
        <v>38</v>
      </c>
      <c r="I7" s="76">
        <v>1</v>
      </c>
      <c r="J7" s="77" t="s">
        <v>38</v>
      </c>
      <c r="K7" s="78">
        <f t="shared" ref="K7:K18" si="2">SUM(D7:J7)</f>
        <v>3</v>
      </c>
      <c r="L7" s="79">
        <f>-L8</f>
        <v>0</v>
      </c>
      <c r="M7" s="236">
        <f t="shared" ref="M7:M19" si="3">K7-L7</f>
        <v>3</v>
      </c>
      <c r="N7" s="81">
        <v>0</v>
      </c>
      <c r="O7" s="81">
        <f>14.3333333333333*1.8</f>
        <v>25.79999999999994</v>
      </c>
      <c r="P7" s="82">
        <f t="shared" ref="P7:P19" si="4">SUM(N7:O7)</f>
        <v>25.79999999999994</v>
      </c>
      <c r="Q7" s="83">
        <f t="shared" ref="Q7:Q18" si="5">P7/30</f>
        <v>0.85999999999999799</v>
      </c>
      <c r="R7" s="84">
        <f t="shared" ref="R7:R18" si="6">(P7*0.05)+P7</f>
        <v>27.089999999999936</v>
      </c>
      <c r="S7" s="83">
        <f t="shared" ref="S7:S18" si="7">R7/30</f>
        <v>0.90299999999999792</v>
      </c>
      <c r="T7" s="85">
        <v>0</v>
      </c>
      <c r="U7" s="86">
        <v>32</v>
      </c>
      <c r="V7" s="78">
        <f t="shared" ref="V7:V12" si="8">SUM(T7:U7)</f>
        <v>32</v>
      </c>
      <c r="W7" s="78">
        <f>V7/2</f>
        <v>16</v>
      </c>
      <c r="X7" s="87">
        <f>V7/28</f>
        <v>1.1428571428571428</v>
      </c>
      <c r="Y7" s="88">
        <f>W7/14</f>
        <v>1.1428571428571428</v>
      </c>
      <c r="Z7" s="89">
        <f>Q7-K7</f>
        <v>-2.1400000000000019</v>
      </c>
      <c r="AA7" s="89">
        <f t="shared" ref="AA7:AA18" si="9">X7-M7</f>
        <v>-1.8571428571428572</v>
      </c>
      <c r="AB7" s="89">
        <f t="shared" ref="AB7:AB33" si="10">Y7-M7</f>
        <v>-1.8571428571428572</v>
      </c>
      <c r="AC7" s="90">
        <v>3</v>
      </c>
      <c r="AD7" s="91">
        <f t="shared" ref="AD7:AD18" si="11">P7/30</f>
        <v>0.85999999999999799</v>
      </c>
      <c r="AE7" s="92" t="s">
        <v>38</v>
      </c>
      <c r="AF7" s="92" t="s">
        <v>38</v>
      </c>
      <c r="AG7" s="92">
        <v>2</v>
      </c>
      <c r="AH7" s="92" t="s">
        <v>38</v>
      </c>
      <c r="AI7" s="92" t="s">
        <v>38</v>
      </c>
      <c r="AJ7" s="93" t="s">
        <v>38</v>
      </c>
      <c r="AK7" s="93" t="s">
        <v>38</v>
      </c>
      <c r="AL7" s="93" t="s">
        <v>38</v>
      </c>
      <c r="AM7" s="93" t="s">
        <v>38</v>
      </c>
      <c r="AN7" s="93" t="s">
        <v>38</v>
      </c>
      <c r="AO7" s="94" t="s">
        <v>127</v>
      </c>
      <c r="AP7" s="95"/>
    </row>
    <row r="8" spans="1:42" s="10" customFormat="1" ht="21.95" customHeight="1" x14ac:dyDescent="0.2">
      <c r="A8" s="348"/>
      <c r="B8" s="262" t="s">
        <v>19</v>
      </c>
      <c r="C8" s="96" t="s">
        <v>38</v>
      </c>
      <c r="D8" s="96" t="s">
        <v>38</v>
      </c>
      <c r="E8" s="96">
        <v>1</v>
      </c>
      <c r="F8" s="96" t="s">
        <v>38</v>
      </c>
      <c r="G8" s="97" t="s">
        <v>38</v>
      </c>
      <c r="H8" s="97" t="s">
        <v>38</v>
      </c>
      <c r="I8" s="97">
        <v>1</v>
      </c>
      <c r="J8" s="97">
        <v>3</v>
      </c>
      <c r="K8" s="78">
        <f t="shared" si="2"/>
        <v>5</v>
      </c>
      <c r="L8" s="79">
        <v>0</v>
      </c>
      <c r="M8" s="236">
        <f t="shared" si="3"/>
        <v>5</v>
      </c>
      <c r="N8" s="98">
        <v>0</v>
      </c>
      <c r="O8" s="98">
        <f>19.8333333333333*1.8</f>
        <v>35.699999999999939</v>
      </c>
      <c r="P8" s="82">
        <f t="shared" si="4"/>
        <v>35.699999999999939</v>
      </c>
      <c r="Q8" s="83">
        <f t="shared" si="5"/>
        <v>1.1899999999999979</v>
      </c>
      <c r="R8" s="84">
        <f t="shared" si="6"/>
        <v>37.484999999999935</v>
      </c>
      <c r="S8" s="83">
        <f t="shared" si="7"/>
        <v>1.2494999999999978</v>
      </c>
      <c r="T8" s="99">
        <f>228+99</f>
        <v>327</v>
      </c>
      <c r="U8" s="86">
        <v>32</v>
      </c>
      <c r="V8" s="78">
        <f t="shared" si="8"/>
        <v>359</v>
      </c>
      <c r="W8" s="78">
        <f t="shared" ref="W8:W73" si="12">V8/2</f>
        <v>179.5</v>
      </c>
      <c r="X8" s="87">
        <f>V8/12</f>
        <v>29.916666666666668</v>
      </c>
      <c r="Y8" s="88">
        <f t="shared" ref="Y8:Y73" si="13">W8/14</f>
        <v>12.821428571428571</v>
      </c>
      <c r="Z8" s="100">
        <f t="shared" ref="Z8:Z18" si="14">Q8-M8</f>
        <v>-3.8100000000000023</v>
      </c>
      <c r="AA8" s="100">
        <f t="shared" si="9"/>
        <v>24.916666666666668</v>
      </c>
      <c r="AB8" s="100">
        <f t="shared" si="10"/>
        <v>7.8214285714285712</v>
      </c>
      <c r="AC8" s="90">
        <v>3</v>
      </c>
      <c r="AD8" s="91">
        <f t="shared" si="11"/>
        <v>1.1899999999999979</v>
      </c>
      <c r="AE8" s="101" t="s">
        <v>38</v>
      </c>
      <c r="AF8" s="101" t="s">
        <v>38</v>
      </c>
      <c r="AG8" s="101" t="s">
        <v>38</v>
      </c>
      <c r="AH8" s="101" t="s">
        <v>38</v>
      </c>
      <c r="AI8" s="101" t="s">
        <v>38</v>
      </c>
      <c r="AJ8" s="93" t="s">
        <v>38</v>
      </c>
      <c r="AK8" s="93" t="s">
        <v>38</v>
      </c>
      <c r="AL8" s="93" t="s">
        <v>38</v>
      </c>
      <c r="AM8" s="93" t="s">
        <v>38</v>
      </c>
      <c r="AN8" s="93" t="s">
        <v>38</v>
      </c>
      <c r="AO8" s="94"/>
      <c r="AP8" s="63"/>
    </row>
    <row r="9" spans="1:42" s="7" customFormat="1" ht="21.95" customHeight="1" x14ac:dyDescent="0.2">
      <c r="A9" s="73" t="s">
        <v>46</v>
      </c>
      <c r="B9" s="263" t="s">
        <v>21</v>
      </c>
      <c r="C9" s="75" t="s">
        <v>38</v>
      </c>
      <c r="D9" s="75" t="s">
        <v>38</v>
      </c>
      <c r="E9" s="75">
        <v>3</v>
      </c>
      <c r="F9" s="75">
        <v>1</v>
      </c>
      <c r="G9" s="76" t="s">
        <v>38</v>
      </c>
      <c r="H9" s="76" t="s">
        <v>38</v>
      </c>
      <c r="I9" s="76">
        <v>3</v>
      </c>
      <c r="J9" s="97" t="s">
        <v>38</v>
      </c>
      <c r="K9" s="78">
        <f t="shared" si="2"/>
        <v>7</v>
      </c>
      <c r="L9" s="79">
        <v>0</v>
      </c>
      <c r="M9" s="236">
        <f t="shared" si="3"/>
        <v>7</v>
      </c>
      <c r="N9" s="81">
        <v>228.444444444444</v>
      </c>
      <c r="O9" s="81">
        <v>0</v>
      </c>
      <c r="P9" s="82">
        <f t="shared" si="4"/>
        <v>228.444444444444</v>
      </c>
      <c r="Q9" s="83">
        <f t="shared" si="5"/>
        <v>7.6148148148148005</v>
      </c>
      <c r="R9" s="84">
        <f t="shared" si="6"/>
        <v>239.86666666666619</v>
      </c>
      <c r="S9" s="83">
        <f t="shared" si="7"/>
        <v>7.9955555555555398</v>
      </c>
      <c r="T9" s="103">
        <v>207</v>
      </c>
      <c r="U9" s="85">
        <v>0</v>
      </c>
      <c r="V9" s="78">
        <f t="shared" si="8"/>
        <v>207</v>
      </c>
      <c r="W9" s="78">
        <f t="shared" si="12"/>
        <v>103.5</v>
      </c>
      <c r="X9" s="87">
        <f t="shared" ref="X9:X18" si="15">V9/35</f>
        <v>5.9142857142857146</v>
      </c>
      <c r="Y9" s="88">
        <f t="shared" si="13"/>
        <v>7.3928571428571432</v>
      </c>
      <c r="Z9" s="89">
        <f t="shared" si="14"/>
        <v>0.61481481481480049</v>
      </c>
      <c r="AA9" s="89">
        <f t="shared" si="9"/>
        <v>-1.0857142857142854</v>
      </c>
      <c r="AB9" s="89">
        <f t="shared" si="10"/>
        <v>0.39285714285714324</v>
      </c>
      <c r="AC9" s="90">
        <v>5</v>
      </c>
      <c r="AD9" s="91">
        <f t="shared" si="11"/>
        <v>7.6148148148148005</v>
      </c>
      <c r="AE9" s="92" t="s">
        <v>38</v>
      </c>
      <c r="AF9" s="92" t="s">
        <v>38</v>
      </c>
      <c r="AG9" s="92">
        <v>1</v>
      </c>
      <c r="AH9" s="92">
        <v>1</v>
      </c>
      <c r="AI9" s="92" t="s">
        <v>38</v>
      </c>
      <c r="AJ9" s="93" t="s">
        <v>38</v>
      </c>
      <c r="AK9" s="93" t="s">
        <v>38</v>
      </c>
      <c r="AL9" s="93" t="s">
        <v>38</v>
      </c>
      <c r="AM9" s="93" t="s">
        <v>38</v>
      </c>
      <c r="AN9" s="93" t="s">
        <v>38</v>
      </c>
      <c r="AO9" s="94"/>
      <c r="AP9" s="95"/>
    </row>
    <row r="10" spans="1:42" s="10" customFormat="1" ht="21.95" customHeight="1" x14ac:dyDescent="0.2">
      <c r="A10" s="104" t="s">
        <v>225</v>
      </c>
      <c r="B10" s="262" t="s">
        <v>21</v>
      </c>
      <c r="C10" s="75" t="s">
        <v>38</v>
      </c>
      <c r="D10" s="75" t="s">
        <v>38</v>
      </c>
      <c r="E10" s="75">
        <v>2</v>
      </c>
      <c r="F10" s="75">
        <v>2</v>
      </c>
      <c r="G10" s="76" t="s">
        <v>38</v>
      </c>
      <c r="H10" s="76" t="s">
        <v>38</v>
      </c>
      <c r="I10" s="76">
        <v>1</v>
      </c>
      <c r="J10" s="77">
        <v>4</v>
      </c>
      <c r="K10" s="78">
        <f t="shared" si="2"/>
        <v>9</v>
      </c>
      <c r="L10" s="79">
        <v>0</v>
      </c>
      <c r="M10" s="236">
        <f t="shared" si="3"/>
        <v>9</v>
      </c>
      <c r="N10" s="98">
        <v>126.30555555555556</v>
      </c>
      <c r="O10" s="98">
        <v>0</v>
      </c>
      <c r="P10" s="82">
        <f t="shared" si="4"/>
        <v>126.30555555555556</v>
      </c>
      <c r="Q10" s="83">
        <f t="shared" si="5"/>
        <v>4.2101851851851855</v>
      </c>
      <c r="R10" s="84">
        <f t="shared" si="6"/>
        <v>132.62083333333334</v>
      </c>
      <c r="S10" s="83">
        <f t="shared" si="7"/>
        <v>4.4206944444444449</v>
      </c>
      <c r="T10" s="103">
        <v>221</v>
      </c>
      <c r="U10" s="85">
        <v>0</v>
      </c>
      <c r="V10" s="78">
        <f t="shared" si="8"/>
        <v>221</v>
      </c>
      <c r="W10" s="78">
        <f t="shared" si="12"/>
        <v>110.5</v>
      </c>
      <c r="X10" s="87">
        <f t="shared" si="15"/>
        <v>6.3142857142857141</v>
      </c>
      <c r="Y10" s="88">
        <f t="shared" si="13"/>
        <v>7.8928571428571432</v>
      </c>
      <c r="Z10" s="100">
        <f t="shared" si="14"/>
        <v>-4.7898148148148145</v>
      </c>
      <c r="AA10" s="100">
        <f t="shared" si="9"/>
        <v>-2.6857142857142859</v>
      </c>
      <c r="AB10" s="100">
        <f t="shared" si="10"/>
        <v>-1.1071428571428568</v>
      </c>
      <c r="AC10" s="90">
        <v>5</v>
      </c>
      <c r="AD10" s="91">
        <f t="shared" si="11"/>
        <v>4.2101851851851855</v>
      </c>
      <c r="AE10" s="101" t="s">
        <v>38</v>
      </c>
      <c r="AF10" s="101" t="s">
        <v>38</v>
      </c>
      <c r="AG10" s="101" t="s">
        <v>38</v>
      </c>
      <c r="AH10" s="101" t="s">
        <v>38</v>
      </c>
      <c r="AI10" s="101" t="s">
        <v>38</v>
      </c>
      <c r="AJ10" s="93" t="s">
        <v>38</v>
      </c>
      <c r="AK10" s="93" t="s">
        <v>38</v>
      </c>
      <c r="AL10" s="93" t="s">
        <v>38</v>
      </c>
      <c r="AM10" s="93" t="s">
        <v>38</v>
      </c>
      <c r="AN10" s="93" t="s">
        <v>38</v>
      </c>
      <c r="AO10" s="94"/>
      <c r="AP10" s="63"/>
    </row>
    <row r="11" spans="1:42" s="10" customFormat="1" ht="21.95" customHeight="1" x14ac:dyDescent="0.2">
      <c r="A11" s="348" t="s">
        <v>48</v>
      </c>
      <c r="B11" s="262" t="s">
        <v>128</v>
      </c>
      <c r="C11" s="105" t="s">
        <v>38</v>
      </c>
      <c r="D11" s="96">
        <v>1</v>
      </c>
      <c r="E11" s="96" t="s">
        <v>38</v>
      </c>
      <c r="F11" s="96" t="s">
        <v>38</v>
      </c>
      <c r="G11" s="106" t="s">
        <v>38</v>
      </c>
      <c r="H11" s="76" t="s">
        <v>38</v>
      </c>
      <c r="I11" s="76" t="s">
        <v>38</v>
      </c>
      <c r="J11" s="77" t="s">
        <v>38</v>
      </c>
      <c r="K11" s="78">
        <f t="shared" si="2"/>
        <v>1</v>
      </c>
      <c r="L11" s="79">
        <v>0</v>
      </c>
      <c r="M11" s="236">
        <f t="shared" si="3"/>
        <v>1</v>
      </c>
      <c r="N11" s="98">
        <v>0</v>
      </c>
      <c r="O11" s="98">
        <f>14.625*1.8</f>
        <v>26.324999999999999</v>
      </c>
      <c r="P11" s="82">
        <f t="shared" si="4"/>
        <v>26.324999999999999</v>
      </c>
      <c r="Q11" s="83">
        <f t="shared" si="5"/>
        <v>0.87749999999999995</v>
      </c>
      <c r="R11" s="84">
        <f t="shared" si="6"/>
        <v>27.641249999999999</v>
      </c>
      <c r="S11" s="83">
        <f t="shared" si="7"/>
        <v>0.92137499999999994</v>
      </c>
      <c r="T11" s="103">
        <v>0</v>
      </c>
      <c r="U11" s="107">
        <v>32</v>
      </c>
      <c r="V11" s="78">
        <f t="shared" si="8"/>
        <v>32</v>
      </c>
      <c r="W11" s="78">
        <f t="shared" si="12"/>
        <v>16</v>
      </c>
      <c r="X11" s="87">
        <f t="shared" si="15"/>
        <v>0.91428571428571426</v>
      </c>
      <c r="Y11" s="88">
        <f t="shared" si="13"/>
        <v>1.1428571428571428</v>
      </c>
      <c r="Z11" s="78">
        <v>0</v>
      </c>
      <c r="AA11" s="78">
        <v>0</v>
      </c>
      <c r="AB11" s="78">
        <v>0</v>
      </c>
      <c r="AC11" s="90">
        <v>3</v>
      </c>
      <c r="AD11" s="91">
        <f t="shared" si="11"/>
        <v>0.87749999999999995</v>
      </c>
      <c r="AE11" s="101" t="s">
        <v>38</v>
      </c>
      <c r="AF11" s="101" t="s">
        <v>38</v>
      </c>
      <c r="AG11" s="101" t="s">
        <v>38</v>
      </c>
      <c r="AH11" s="101" t="s">
        <v>38</v>
      </c>
      <c r="AI11" s="101" t="s">
        <v>38</v>
      </c>
      <c r="AJ11" s="93" t="s">
        <v>38</v>
      </c>
      <c r="AK11" s="93" t="s">
        <v>38</v>
      </c>
      <c r="AL11" s="93" t="s">
        <v>38</v>
      </c>
      <c r="AM11" s="93" t="s">
        <v>38</v>
      </c>
      <c r="AN11" s="93" t="s">
        <v>38</v>
      </c>
      <c r="AO11" s="94" t="s">
        <v>129</v>
      </c>
      <c r="AP11" s="63"/>
    </row>
    <row r="12" spans="1:42" s="10" customFormat="1" ht="21.95" customHeight="1" x14ac:dyDescent="0.2">
      <c r="A12" s="348"/>
      <c r="B12" s="262" t="s">
        <v>21</v>
      </c>
      <c r="C12" s="105" t="s">
        <v>38</v>
      </c>
      <c r="D12" s="105" t="s">
        <v>38</v>
      </c>
      <c r="E12" s="105">
        <v>2</v>
      </c>
      <c r="F12" s="105">
        <v>1</v>
      </c>
      <c r="G12" s="106" t="s">
        <v>38</v>
      </c>
      <c r="H12" s="76" t="s">
        <v>38</v>
      </c>
      <c r="I12" s="76">
        <v>1</v>
      </c>
      <c r="J12" s="76">
        <v>4</v>
      </c>
      <c r="K12" s="108">
        <f t="shared" si="2"/>
        <v>8</v>
      </c>
      <c r="L12" s="79">
        <v>0</v>
      </c>
      <c r="M12" s="236">
        <f t="shared" si="3"/>
        <v>8</v>
      </c>
      <c r="N12" s="98">
        <v>0</v>
      </c>
      <c r="O12" s="98">
        <v>70.361111111111114</v>
      </c>
      <c r="P12" s="82">
        <f t="shared" si="4"/>
        <v>70.361111111111114</v>
      </c>
      <c r="Q12" s="83">
        <f t="shared" si="5"/>
        <v>2.3453703703703703</v>
      </c>
      <c r="R12" s="84">
        <f t="shared" si="6"/>
        <v>73.879166666666663</v>
      </c>
      <c r="S12" s="83">
        <f t="shared" si="7"/>
        <v>2.4626388888888888</v>
      </c>
      <c r="T12" s="103">
        <v>194</v>
      </c>
      <c r="U12" s="85">
        <v>0</v>
      </c>
      <c r="V12" s="78">
        <f t="shared" si="8"/>
        <v>194</v>
      </c>
      <c r="W12" s="78">
        <f t="shared" si="12"/>
        <v>97</v>
      </c>
      <c r="X12" s="87">
        <f t="shared" si="15"/>
        <v>5.5428571428571427</v>
      </c>
      <c r="Y12" s="88">
        <f t="shared" si="13"/>
        <v>6.9285714285714288</v>
      </c>
      <c r="Z12" s="100">
        <f t="shared" si="14"/>
        <v>-5.6546296296296301</v>
      </c>
      <c r="AA12" s="100">
        <f t="shared" si="9"/>
        <v>-2.4571428571428573</v>
      </c>
      <c r="AB12" s="100">
        <f t="shared" si="10"/>
        <v>-1.0714285714285712</v>
      </c>
      <c r="AC12" s="90">
        <v>5</v>
      </c>
      <c r="AD12" s="91">
        <f t="shared" si="11"/>
        <v>2.3453703703703703</v>
      </c>
      <c r="AE12" s="101" t="s">
        <v>38</v>
      </c>
      <c r="AF12" s="101">
        <v>1</v>
      </c>
      <c r="AG12" s="101">
        <v>1</v>
      </c>
      <c r="AH12" s="101" t="s">
        <v>38</v>
      </c>
      <c r="AI12" s="101" t="s">
        <v>38</v>
      </c>
      <c r="AJ12" s="93" t="s">
        <v>38</v>
      </c>
      <c r="AK12" s="93" t="s">
        <v>38</v>
      </c>
      <c r="AL12" s="93" t="s">
        <v>38</v>
      </c>
      <c r="AM12" s="93" t="s">
        <v>38</v>
      </c>
      <c r="AN12" s="93" t="s">
        <v>38</v>
      </c>
      <c r="AO12" s="94" t="s">
        <v>130</v>
      </c>
      <c r="AP12" s="63"/>
    </row>
    <row r="13" spans="1:42" s="7" customFormat="1" ht="21.95" customHeight="1" x14ac:dyDescent="0.2">
      <c r="A13" s="348" t="s">
        <v>49</v>
      </c>
      <c r="B13" s="263" t="s">
        <v>19</v>
      </c>
      <c r="C13" s="75" t="s">
        <v>38</v>
      </c>
      <c r="D13" s="75" t="s">
        <v>38</v>
      </c>
      <c r="E13" s="75">
        <v>1</v>
      </c>
      <c r="F13" s="75" t="s">
        <v>38</v>
      </c>
      <c r="G13" s="76" t="s">
        <v>38</v>
      </c>
      <c r="H13" s="76" t="s">
        <v>38</v>
      </c>
      <c r="I13" s="76">
        <v>2</v>
      </c>
      <c r="J13" s="76" t="s">
        <v>38</v>
      </c>
      <c r="K13" s="108">
        <f t="shared" si="2"/>
        <v>3</v>
      </c>
      <c r="L13" s="79">
        <v>0</v>
      </c>
      <c r="M13" s="236">
        <f t="shared" si="3"/>
        <v>3</v>
      </c>
      <c r="N13" s="81">
        <v>0</v>
      </c>
      <c r="O13" s="81">
        <f>8.33333333333333*1.8</f>
        <v>14.999999999999995</v>
      </c>
      <c r="P13" s="82">
        <f t="shared" si="4"/>
        <v>14.999999999999995</v>
      </c>
      <c r="Q13" s="83">
        <f t="shared" si="5"/>
        <v>0.49999999999999983</v>
      </c>
      <c r="R13" s="84">
        <f t="shared" si="6"/>
        <v>15.749999999999995</v>
      </c>
      <c r="S13" s="83">
        <f t="shared" si="7"/>
        <v>0.5249999999999998</v>
      </c>
      <c r="T13" s="109">
        <v>0</v>
      </c>
      <c r="U13" s="86">
        <v>8</v>
      </c>
      <c r="V13" s="78">
        <f>SUM(U13:U13)</f>
        <v>8</v>
      </c>
      <c r="W13" s="78">
        <f t="shared" si="12"/>
        <v>4</v>
      </c>
      <c r="X13" s="87">
        <f t="shared" si="15"/>
        <v>0.22857142857142856</v>
      </c>
      <c r="Y13" s="88">
        <f t="shared" si="13"/>
        <v>0.2857142857142857</v>
      </c>
      <c r="Z13" s="89">
        <f t="shared" si="14"/>
        <v>-2.5</v>
      </c>
      <c r="AA13" s="89">
        <f t="shared" si="9"/>
        <v>-2.7714285714285714</v>
      </c>
      <c r="AB13" s="89">
        <f t="shared" si="10"/>
        <v>-2.7142857142857144</v>
      </c>
      <c r="AC13" s="90">
        <v>3</v>
      </c>
      <c r="AD13" s="91">
        <f t="shared" si="11"/>
        <v>0.49999999999999983</v>
      </c>
      <c r="AE13" s="92" t="s">
        <v>38</v>
      </c>
      <c r="AF13" s="92" t="s">
        <v>38</v>
      </c>
      <c r="AG13" s="92">
        <v>1</v>
      </c>
      <c r="AH13" s="92" t="s">
        <v>38</v>
      </c>
      <c r="AI13" s="92" t="s">
        <v>38</v>
      </c>
      <c r="AJ13" s="93" t="s">
        <v>38</v>
      </c>
      <c r="AK13" s="93" t="s">
        <v>38</v>
      </c>
      <c r="AL13" s="93" t="s">
        <v>38</v>
      </c>
      <c r="AM13" s="93" t="s">
        <v>38</v>
      </c>
      <c r="AN13" s="93" t="s">
        <v>38</v>
      </c>
      <c r="AO13" s="94" t="s">
        <v>131</v>
      </c>
      <c r="AP13" s="95"/>
    </row>
    <row r="14" spans="1:42" s="10" customFormat="1" ht="21.95" customHeight="1" x14ac:dyDescent="0.2">
      <c r="A14" s="348"/>
      <c r="B14" s="262" t="s">
        <v>21</v>
      </c>
      <c r="C14" s="75" t="s">
        <v>38</v>
      </c>
      <c r="D14" s="75" t="s">
        <v>38</v>
      </c>
      <c r="E14" s="75" t="s">
        <v>38</v>
      </c>
      <c r="F14" s="75" t="s">
        <v>38</v>
      </c>
      <c r="G14" s="76" t="s">
        <v>38</v>
      </c>
      <c r="H14" s="76" t="s">
        <v>38</v>
      </c>
      <c r="I14" s="76">
        <v>2</v>
      </c>
      <c r="J14" s="76">
        <v>4</v>
      </c>
      <c r="K14" s="108">
        <f t="shared" si="2"/>
        <v>6</v>
      </c>
      <c r="L14" s="79">
        <v>1</v>
      </c>
      <c r="M14" s="236">
        <f t="shared" si="3"/>
        <v>5</v>
      </c>
      <c r="N14" s="98">
        <v>93.472222222222229</v>
      </c>
      <c r="O14" s="98">
        <v>0</v>
      </c>
      <c r="P14" s="82">
        <f t="shared" si="4"/>
        <v>93.472222222222229</v>
      </c>
      <c r="Q14" s="83">
        <f t="shared" si="5"/>
        <v>3.1157407407407409</v>
      </c>
      <c r="R14" s="84">
        <f t="shared" si="6"/>
        <v>98.145833333333343</v>
      </c>
      <c r="S14" s="83">
        <f t="shared" si="7"/>
        <v>3.271527777777778</v>
      </c>
      <c r="T14" s="103">
        <v>271</v>
      </c>
      <c r="U14" s="85">
        <v>0</v>
      </c>
      <c r="V14" s="78">
        <f>SUM(T14:U14)</f>
        <v>271</v>
      </c>
      <c r="W14" s="78">
        <f t="shared" si="12"/>
        <v>135.5</v>
      </c>
      <c r="X14" s="87">
        <f t="shared" si="15"/>
        <v>7.7428571428571429</v>
      </c>
      <c r="Y14" s="88">
        <f t="shared" si="13"/>
        <v>9.6785714285714288</v>
      </c>
      <c r="Z14" s="100">
        <f t="shared" si="14"/>
        <v>-1.8842592592592591</v>
      </c>
      <c r="AA14" s="100">
        <f t="shared" si="9"/>
        <v>2.7428571428571429</v>
      </c>
      <c r="AB14" s="100">
        <f t="shared" si="10"/>
        <v>4.6785714285714288</v>
      </c>
      <c r="AC14" s="90">
        <v>5</v>
      </c>
      <c r="AD14" s="91">
        <f t="shared" si="11"/>
        <v>3.1157407407407409</v>
      </c>
      <c r="AE14" s="101" t="s">
        <v>38</v>
      </c>
      <c r="AF14" s="101" t="s">
        <v>38</v>
      </c>
      <c r="AG14" s="101" t="s">
        <v>38</v>
      </c>
      <c r="AH14" s="101" t="s">
        <v>38</v>
      </c>
      <c r="AI14" s="101" t="s">
        <v>38</v>
      </c>
      <c r="AJ14" s="93" t="s">
        <v>38</v>
      </c>
      <c r="AK14" s="93" t="s">
        <v>38</v>
      </c>
      <c r="AL14" s="93" t="s">
        <v>38</v>
      </c>
      <c r="AM14" s="93" t="s">
        <v>38</v>
      </c>
      <c r="AN14" s="93" t="s">
        <v>38</v>
      </c>
      <c r="AO14" s="94" t="s">
        <v>132</v>
      </c>
      <c r="AP14" s="63"/>
    </row>
    <row r="15" spans="1:42" s="7" customFormat="1" ht="21.95" customHeight="1" x14ac:dyDescent="0.2">
      <c r="A15" s="348" t="s">
        <v>50</v>
      </c>
      <c r="B15" s="263" t="s">
        <v>18</v>
      </c>
      <c r="C15" s="75" t="s">
        <v>38</v>
      </c>
      <c r="D15" s="75" t="s">
        <v>38</v>
      </c>
      <c r="E15" s="75">
        <v>1</v>
      </c>
      <c r="F15" s="75" t="s">
        <v>38</v>
      </c>
      <c r="G15" s="76" t="s">
        <v>38</v>
      </c>
      <c r="H15" s="76" t="s">
        <v>38</v>
      </c>
      <c r="I15" s="76" t="s">
        <v>38</v>
      </c>
      <c r="J15" s="76">
        <v>1</v>
      </c>
      <c r="K15" s="108">
        <f t="shared" si="2"/>
        <v>2</v>
      </c>
      <c r="L15" s="79">
        <v>0</v>
      </c>
      <c r="M15" s="236">
        <f t="shared" si="3"/>
        <v>2</v>
      </c>
      <c r="N15" s="81">
        <v>0</v>
      </c>
      <c r="O15" s="81">
        <f>31*1.8</f>
        <v>55.800000000000004</v>
      </c>
      <c r="P15" s="82">
        <f t="shared" si="4"/>
        <v>55.800000000000004</v>
      </c>
      <c r="Q15" s="83">
        <f t="shared" si="5"/>
        <v>1.86</v>
      </c>
      <c r="R15" s="84">
        <f t="shared" si="6"/>
        <v>58.59</v>
      </c>
      <c r="S15" s="83">
        <f t="shared" si="7"/>
        <v>1.9530000000000001</v>
      </c>
      <c r="T15" s="110"/>
      <c r="U15" s="86">
        <f>40</f>
        <v>40</v>
      </c>
      <c r="V15" s="85">
        <f>SUM(T15:U15)</f>
        <v>40</v>
      </c>
      <c r="W15" s="78">
        <f t="shared" si="12"/>
        <v>20</v>
      </c>
      <c r="X15" s="87">
        <f t="shared" si="15"/>
        <v>1.1428571428571428</v>
      </c>
      <c r="Y15" s="88">
        <f t="shared" si="13"/>
        <v>1.4285714285714286</v>
      </c>
      <c r="Z15" s="89">
        <f t="shared" si="14"/>
        <v>-0.1399999999999999</v>
      </c>
      <c r="AA15" s="89">
        <f t="shared" si="9"/>
        <v>-0.85714285714285721</v>
      </c>
      <c r="AB15" s="89">
        <f t="shared" si="10"/>
        <v>-0.5714285714285714</v>
      </c>
      <c r="AC15" s="90">
        <v>3</v>
      </c>
      <c r="AD15" s="91">
        <f t="shared" si="11"/>
        <v>1.86</v>
      </c>
      <c r="AE15" s="92">
        <v>1</v>
      </c>
      <c r="AF15" s="92" t="s">
        <v>38</v>
      </c>
      <c r="AG15" s="92" t="s">
        <v>38</v>
      </c>
      <c r="AH15" s="92" t="s">
        <v>38</v>
      </c>
      <c r="AI15" s="92" t="s">
        <v>38</v>
      </c>
      <c r="AJ15" s="93" t="s">
        <v>38</v>
      </c>
      <c r="AK15" s="93" t="s">
        <v>38</v>
      </c>
      <c r="AL15" s="93" t="s">
        <v>38</v>
      </c>
      <c r="AM15" s="93" t="s">
        <v>38</v>
      </c>
      <c r="AN15" s="93" t="s">
        <v>38</v>
      </c>
      <c r="AO15" s="94" t="s">
        <v>132</v>
      </c>
      <c r="AP15" s="95"/>
    </row>
    <row r="16" spans="1:42" s="10" customFormat="1" ht="21.95" customHeight="1" x14ac:dyDescent="0.2">
      <c r="A16" s="348"/>
      <c r="B16" s="262" t="s">
        <v>19</v>
      </c>
      <c r="C16" s="75" t="s">
        <v>38</v>
      </c>
      <c r="D16" s="75">
        <v>1</v>
      </c>
      <c r="E16" s="75">
        <v>2</v>
      </c>
      <c r="F16" s="75" t="s">
        <v>38</v>
      </c>
      <c r="G16" s="76" t="s">
        <v>38</v>
      </c>
      <c r="H16" s="76" t="s">
        <v>38</v>
      </c>
      <c r="I16" s="76">
        <v>1</v>
      </c>
      <c r="J16" s="76" t="s">
        <v>38</v>
      </c>
      <c r="K16" s="108">
        <f t="shared" si="2"/>
        <v>4</v>
      </c>
      <c r="L16" s="79">
        <v>0</v>
      </c>
      <c r="M16" s="236">
        <f t="shared" si="3"/>
        <v>4</v>
      </c>
      <c r="N16" s="98">
        <v>0</v>
      </c>
      <c r="O16" s="98">
        <f>54.4166666666667*1.8</f>
        <v>97.95000000000006</v>
      </c>
      <c r="P16" s="82">
        <f t="shared" si="4"/>
        <v>97.95000000000006</v>
      </c>
      <c r="Q16" s="83">
        <f t="shared" si="5"/>
        <v>3.2650000000000019</v>
      </c>
      <c r="R16" s="84">
        <f t="shared" si="6"/>
        <v>102.84750000000007</v>
      </c>
      <c r="S16" s="83">
        <f t="shared" si="7"/>
        <v>3.4282500000000025</v>
      </c>
      <c r="T16" s="111">
        <f>38+228</f>
        <v>266</v>
      </c>
      <c r="U16" s="86">
        <f>42</f>
        <v>42</v>
      </c>
      <c r="V16" s="85">
        <f>SUM(T16:U16)</f>
        <v>308</v>
      </c>
      <c r="W16" s="78">
        <f t="shared" si="12"/>
        <v>154</v>
      </c>
      <c r="X16" s="87">
        <f t="shared" si="15"/>
        <v>8.8000000000000007</v>
      </c>
      <c r="Y16" s="88">
        <f t="shared" si="13"/>
        <v>11</v>
      </c>
      <c r="Z16" s="100">
        <f t="shared" si="14"/>
        <v>-0.7349999999999981</v>
      </c>
      <c r="AA16" s="100">
        <f t="shared" si="9"/>
        <v>4.8000000000000007</v>
      </c>
      <c r="AB16" s="100">
        <f t="shared" si="10"/>
        <v>7</v>
      </c>
      <c r="AC16" s="90">
        <v>3</v>
      </c>
      <c r="AD16" s="91">
        <f t="shared" si="11"/>
        <v>3.2650000000000019</v>
      </c>
      <c r="AE16" s="101" t="s">
        <v>38</v>
      </c>
      <c r="AF16" s="101" t="s">
        <v>38</v>
      </c>
      <c r="AG16" s="101" t="s">
        <v>38</v>
      </c>
      <c r="AH16" s="101" t="s">
        <v>38</v>
      </c>
      <c r="AI16" s="101" t="s">
        <v>38</v>
      </c>
      <c r="AJ16" s="93" t="s">
        <v>38</v>
      </c>
      <c r="AK16" s="93" t="s">
        <v>38</v>
      </c>
      <c r="AL16" s="93" t="s">
        <v>38</v>
      </c>
      <c r="AM16" s="93" t="s">
        <v>38</v>
      </c>
      <c r="AN16" s="93" t="s">
        <v>38</v>
      </c>
      <c r="AO16" s="94" t="s">
        <v>132</v>
      </c>
      <c r="AP16" s="63"/>
    </row>
    <row r="17" spans="1:42" s="7" customFormat="1" ht="21.95" customHeight="1" x14ac:dyDescent="0.2">
      <c r="A17" s="73" t="s">
        <v>51</v>
      </c>
      <c r="B17" s="263" t="s">
        <v>21</v>
      </c>
      <c r="C17" s="75" t="s">
        <v>38</v>
      </c>
      <c r="D17" s="75" t="s">
        <v>38</v>
      </c>
      <c r="E17" s="75">
        <v>1</v>
      </c>
      <c r="F17" s="75" t="s">
        <v>38</v>
      </c>
      <c r="G17" s="76" t="s">
        <v>38</v>
      </c>
      <c r="H17" s="76" t="s">
        <v>38</v>
      </c>
      <c r="I17" s="76">
        <v>2</v>
      </c>
      <c r="J17" s="77">
        <v>4</v>
      </c>
      <c r="K17" s="78">
        <f t="shared" si="2"/>
        <v>7</v>
      </c>
      <c r="L17" s="79">
        <v>0</v>
      </c>
      <c r="M17" s="236">
        <f t="shared" si="3"/>
        <v>7</v>
      </c>
      <c r="N17" s="98">
        <v>224.63888888888889</v>
      </c>
      <c r="O17" s="98">
        <v>0</v>
      </c>
      <c r="P17" s="82">
        <f t="shared" si="4"/>
        <v>224.63888888888889</v>
      </c>
      <c r="Q17" s="83">
        <f t="shared" si="5"/>
        <v>7.4879629629629632</v>
      </c>
      <c r="R17" s="84">
        <f t="shared" si="6"/>
        <v>235.87083333333334</v>
      </c>
      <c r="S17" s="83">
        <f t="shared" si="7"/>
        <v>7.8623611111111114</v>
      </c>
      <c r="T17" s="103">
        <f>238+112</f>
        <v>350</v>
      </c>
      <c r="U17" s="85">
        <v>0</v>
      </c>
      <c r="V17" s="78">
        <f>SUM(T17:U17)</f>
        <v>350</v>
      </c>
      <c r="W17" s="78">
        <f t="shared" si="12"/>
        <v>175</v>
      </c>
      <c r="X17" s="87">
        <f t="shared" si="15"/>
        <v>10</v>
      </c>
      <c r="Y17" s="88">
        <f t="shared" si="13"/>
        <v>12.5</v>
      </c>
      <c r="Z17" s="89">
        <f t="shared" si="14"/>
        <v>0.48796296296296315</v>
      </c>
      <c r="AA17" s="89">
        <f t="shared" si="9"/>
        <v>3</v>
      </c>
      <c r="AB17" s="89">
        <f t="shared" si="10"/>
        <v>5.5</v>
      </c>
      <c r="AC17" s="90">
        <v>5</v>
      </c>
      <c r="AD17" s="91">
        <f t="shared" si="11"/>
        <v>7.4879629629629632</v>
      </c>
      <c r="AE17" s="92" t="s">
        <v>38</v>
      </c>
      <c r="AF17" s="92" t="s">
        <v>38</v>
      </c>
      <c r="AG17" s="92" t="s">
        <v>38</v>
      </c>
      <c r="AH17" s="92" t="s">
        <v>38</v>
      </c>
      <c r="AI17" s="92" t="s">
        <v>38</v>
      </c>
      <c r="AJ17" s="93" t="s">
        <v>38</v>
      </c>
      <c r="AK17" s="93" t="s">
        <v>38</v>
      </c>
      <c r="AL17" s="93" t="s">
        <v>38</v>
      </c>
      <c r="AM17" s="93" t="s">
        <v>38</v>
      </c>
      <c r="AN17" s="93" t="s">
        <v>38</v>
      </c>
      <c r="AO17" s="94" t="s">
        <v>132</v>
      </c>
      <c r="AP17" s="95"/>
    </row>
    <row r="18" spans="1:42" s="10" customFormat="1" ht="21.95" customHeight="1" x14ac:dyDescent="0.2">
      <c r="A18" s="112" t="s">
        <v>52</v>
      </c>
      <c r="B18" s="262" t="s">
        <v>19</v>
      </c>
      <c r="C18" s="96" t="s">
        <v>38</v>
      </c>
      <c r="D18" s="96">
        <v>1</v>
      </c>
      <c r="E18" s="96">
        <v>4</v>
      </c>
      <c r="F18" s="96" t="s">
        <v>38</v>
      </c>
      <c r="G18" s="97" t="s">
        <v>38</v>
      </c>
      <c r="H18" s="97" t="s">
        <v>38</v>
      </c>
      <c r="I18" s="97">
        <v>1</v>
      </c>
      <c r="J18" s="97">
        <v>2</v>
      </c>
      <c r="K18" s="78">
        <f t="shared" si="2"/>
        <v>8</v>
      </c>
      <c r="L18" s="79">
        <v>0</v>
      </c>
      <c r="M18" s="236">
        <f t="shared" si="3"/>
        <v>8</v>
      </c>
      <c r="N18" s="98">
        <v>0</v>
      </c>
      <c r="O18" s="98">
        <f>10.875*1.8</f>
        <v>19.574999999999999</v>
      </c>
      <c r="P18" s="82">
        <f t="shared" si="4"/>
        <v>19.574999999999999</v>
      </c>
      <c r="Q18" s="83">
        <f t="shared" si="5"/>
        <v>0.65249999999999997</v>
      </c>
      <c r="R18" s="84">
        <f t="shared" si="6"/>
        <v>20.553750000000001</v>
      </c>
      <c r="S18" s="83">
        <f t="shared" si="7"/>
        <v>0.68512499999999998</v>
      </c>
      <c r="T18" s="111">
        <v>104</v>
      </c>
      <c r="U18" s="85">
        <v>6</v>
      </c>
      <c r="V18" s="78">
        <f>SUM(T18:U18)</f>
        <v>110</v>
      </c>
      <c r="W18" s="78">
        <f t="shared" si="12"/>
        <v>55</v>
      </c>
      <c r="X18" s="87">
        <f t="shared" si="15"/>
        <v>3.1428571428571428</v>
      </c>
      <c r="Y18" s="88">
        <f t="shared" si="13"/>
        <v>3.9285714285714284</v>
      </c>
      <c r="Z18" s="100">
        <f t="shared" si="14"/>
        <v>-7.3475000000000001</v>
      </c>
      <c r="AA18" s="100">
        <f t="shared" si="9"/>
        <v>-4.8571428571428577</v>
      </c>
      <c r="AB18" s="100">
        <f t="shared" si="10"/>
        <v>-4.0714285714285712</v>
      </c>
      <c r="AC18" s="90">
        <v>3</v>
      </c>
      <c r="AD18" s="91">
        <f t="shared" si="11"/>
        <v>0.65249999999999997</v>
      </c>
      <c r="AE18" s="101" t="s">
        <v>38</v>
      </c>
      <c r="AF18" s="101" t="s">
        <v>38</v>
      </c>
      <c r="AG18" s="101" t="s">
        <v>38</v>
      </c>
      <c r="AH18" s="101" t="s">
        <v>38</v>
      </c>
      <c r="AI18" s="101" t="s">
        <v>38</v>
      </c>
      <c r="AJ18" s="93" t="s">
        <v>38</v>
      </c>
      <c r="AK18" s="93" t="s">
        <v>38</v>
      </c>
      <c r="AL18" s="93" t="s">
        <v>38</v>
      </c>
      <c r="AM18" s="93" t="s">
        <v>38</v>
      </c>
      <c r="AN18" s="93" t="s">
        <v>38</v>
      </c>
      <c r="AO18" s="94"/>
      <c r="AP18" s="63"/>
    </row>
    <row r="19" spans="1:42" s="10" customFormat="1" ht="21.95" customHeight="1" x14ac:dyDescent="0.2">
      <c r="A19" s="112" t="s">
        <v>53</v>
      </c>
      <c r="B19" s="262"/>
      <c r="C19" s="96" t="s">
        <v>38</v>
      </c>
      <c r="D19" s="96" t="s">
        <v>38</v>
      </c>
      <c r="E19" s="96" t="s">
        <v>38</v>
      </c>
      <c r="F19" s="96" t="s">
        <v>38</v>
      </c>
      <c r="G19" s="97" t="s">
        <v>38</v>
      </c>
      <c r="H19" s="97" t="s">
        <v>38</v>
      </c>
      <c r="I19" s="97" t="s">
        <v>38</v>
      </c>
      <c r="J19" s="97" t="s">
        <v>38</v>
      </c>
      <c r="K19" s="78"/>
      <c r="L19" s="79">
        <v>0</v>
      </c>
      <c r="M19" s="236">
        <f t="shared" si="3"/>
        <v>0</v>
      </c>
      <c r="N19" s="98"/>
      <c r="O19" s="98" t="s">
        <v>38</v>
      </c>
      <c r="P19" s="82">
        <f t="shared" si="4"/>
        <v>0</v>
      </c>
      <c r="Q19" s="113" t="s">
        <v>38</v>
      </c>
      <c r="R19" s="114" t="s">
        <v>38</v>
      </c>
      <c r="S19" s="113" t="s">
        <v>38</v>
      </c>
      <c r="T19" s="115" t="s">
        <v>38</v>
      </c>
      <c r="U19" s="115" t="s">
        <v>38</v>
      </c>
      <c r="V19" s="115" t="s">
        <v>38</v>
      </c>
      <c r="W19" s="115" t="s">
        <v>38</v>
      </c>
      <c r="X19" s="116" t="s">
        <v>38</v>
      </c>
      <c r="Y19" s="117" t="s">
        <v>38</v>
      </c>
      <c r="Z19" s="118" t="s">
        <v>38</v>
      </c>
      <c r="AA19" s="118" t="s">
        <v>38</v>
      </c>
      <c r="AB19" s="118" t="s">
        <v>38</v>
      </c>
      <c r="AC19" s="90" t="s">
        <v>38</v>
      </c>
      <c r="AD19" s="119" t="s">
        <v>38</v>
      </c>
      <c r="AE19" s="120" t="s">
        <v>38</v>
      </c>
      <c r="AF19" s="120" t="s">
        <v>38</v>
      </c>
      <c r="AG19" s="120" t="s">
        <v>38</v>
      </c>
      <c r="AH19" s="120" t="s">
        <v>38</v>
      </c>
      <c r="AI19" s="120" t="s">
        <v>38</v>
      </c>
      <c r="AJ19" s="121" t="s">
        <v>38</v>
      </c>
      <c r="AK19" s="121" t="s">
        <v>38</v>
      </c>
      <c r="AL19" s="121" t="s">
        <v>38</v>
      </c>
      <c r="AM19" s="121" t="s">
        <v>38</v>
      </c>
      <c r="AN19" s="121" t="s">
        <v>38</v>
      </c>
      <c r="AO19" s="94"/>
      <c r="AP19" s="63"/>
    </row>
    <row r="20" spans="1:42" s="9" customFormat="1" ht="21.95" customHeight="1" x14ac:dyDescent="0.2">
      <c r="A20" s="64" t="s">
        <v>54</v>
      </c>
      <c r="B20" s="264"/>
      <c r="C20" s="122">
        <f>SUM(C21:C45)</f>
        <v>0</v>
      </c>
      <c r="D20" s="122">
        <f t="shared" ref="D20:AO20" si="16">SUM(D21:D45)</f>
        <v>2</v>
      </c>
      <c r="E20" s="122">
        <f t="shared" si="16"/>
        <v>15</v>
      </c>
      <c r="F20" s="122">
        <f t="shared" si="16"/>
        <v>5</v>
      </c>
      <c r="G20" s="122">
        <f t="shared" si="16"/>
        <v>0</v>
      </c>
      <c r="H20" s="122">
        <f t="shared" si="16"/>
        <v>0</v>
      </c>
      <c r="I20" s="122">
        <f t="shared" si="16"/>
        <v>46</v>
      </c>
      <c r="J20" s="122">
        <f t="shared" si="16"/>
        <v>78</v>
      </c>
      <c r="K20" s="122">
        <f t="shared" si="16"/>
        <v>146</v>
      </c>
      <c r="L20" s="122">
        <f t="shared" si="16"/>
        <v>3</v>
      </c>
      <c r="M20" s="122">
        <f t="shared" si="16"/>
        <v>143</v>
      </c>
      <c r="N20" s="235">
        <f t="shared" si="16"/>
        <v>3730.6550000000002</v>
      </c>
      <c r="O20" s="122">
        <f t="shared" si="16"/>
        <v>90</v>
      </c>
      <c r="P20" s="235">
        <f t="shared" si="16"/>
        <v>3820.6550000000002</v>
      </c>
      <c r="Q20" s="122">
        <f t="shared" si="16"/>
        <v>159.24203518518522</v>
      </c>
      <c r="R20" s="235">
        <f t="shared" si="16"/>
        <v>4011.6877500000005</v>
      </c>
      <c r="S20" s="122">
        <f t="shared" si="16"/>
        <v>167.2041369444444</v>
      </c>
      <c r="T20" s="255">
        <f t="shared" si="16"/>
        <v>5357</v>
      </c>
      <c r="U20" s="255">
        <f t="shared" si="16"/>
        <v>155</v>
      </c>
      <c r="V20" s="255">
        <f t="shared" si="16"/>
        <v>5512</v>
      </c>
      <c r="W20" s="255">
        <f t="shared" si="16"/>
        <v>2756</v>
      </c>
      <c r="X20" s="122">
        <f t="shared" si="16"/>
        <v>157.48571428571429</v>
      </c>
      <c r="Y20" s="122">
        <f t="shared" si="16"/>
        <v>196.85714285714289</v>
      </c>
      <c r="Z20" s="122">
        <f t="shared" si="16"/>
        <v>18.242035185185184</v>
      </c>
      <c r="AA20" s="122">
        <f t="shared" si="16"/>
        <v>16.485714285714284</v>
      </c>
      <c r="AB20" s="122">
        <f t="shared" si="16"/>
        <v>55.85714285714284</v>
      </c>
      <c r="AC20" s="122">
        <f t="shared" si="16"/>
        <v>112</v>
      </c>
      <c r="AD20" s="122">
        <f t="shared" si="16"/>
        <v>23.072870370370371</v>
      </c>
      <c r="AE20" s="122">
        <f t="shared" si="16"/>
        <v>3</v>
      </c>
      <c r="AF20" s="122">
        <f t="shared" si="16"/>
        <v>2</v>
      </c>
      <c r="AG20" s="122">
        <f t="shared" si="16"/>
        <v>2</v>
      </c>
      <c r="AH20" s="122">
        <f t="shared" si="16"/>
        <v>2</v>
      </c>
      <c r="AI20" s="122">
        <f t="shared" si="16"/>
        <v>5</v>
      </c>
      <c r="AJ20" s="122">
        <f t="shared" si="16"/>
        <v>0</v>
      </c>
      <c r="AK20" s="122">
        <f t="shared" si="16"/>
        <v>2</v>
      </c>
      <c r="AL20" s="122">
        <f t="shared" si="16"/>
        <v>0</v>
      </c>
      <c r="AM20" s="122">
        <f t="shared" si="16"/>
        <v>0</v>
      </c>
      <c r="AN20" s="122">
        <f t="shared" si="16"/>
        <v>0</v>
      </c>
      <c r="AO20" s="122">
        <f t="shared" si="16"/>
        <v>0</v>
      </c>
      <c r="AP20" s="72"/>
    </row>
    <row r="21" spans="1:42" s="7" customFormat="1" ht="21.95" customHeight="1" x14ac:dyDescent="0.2">
      <c r="A21" s="123" t="s">
        <v>55</v>
      </c>
      <c r="B21" s="263" t="s">
        <v>21</v>
      </c>
      <c r="C21" s="96" t="s">
        <v>38</v>
      </c>
      <c r="D21" s="96" t="s">
        <v>38</v>
      </c>
      <c r="E21" s="96" t="s">
        <v>38</v>
      </c>
      <c r="F21" s="96" t="s">
        <v>38</v>
      </c>
      <c r="G21" s="97" t="s">
        <v>38</v>
      </c>
      <c r="H21" s="97" t="s">
        <v>38</v>
      </c>
      <c r="I21" s="97">
        <v>3</v>
      </c>
      <c r="J21" s="97">
        <v>4</v>
      </c>
      <c r="K21" s="78">
        <f>SUM(C21:J21)</f>
        <v>7</v>
      </c>
      <c r="L21" s="79">
        <v>0</v>
      </c>
      <c r="M21" s="218">
        <f t="shared" ref="M21:M44" si="17">K21-L21</f>
        <v>7</v>
      </c>
      <c r="N21" s="81">
        <v>122.47222222222223</v>
      </c>
      <c r="O21" s="81">
        <v>0</v>
      </c>
      <c r="P21" s="82">
        <f>SUM(N21:N21)</f>
        <v>122.47222222222223</v>
      </c>
      <c r="Q21" s="83">
        <f>P21/30</f>
        <v>4.0824074074074073</v>
      </c>
      <c r="R21" s="84">
        <f t="shared" ref="R21:R83" si="18">(P21*0.05)+P21</f>
        <v>128.59583333333333</v>
      </c>
      <c r="S21" s="83">
        <f>R21/30</f>
        <v>4.2865277777777777</v>
      </c>
      <c r="T21" s="125">
        <v>516</v>
      </c>
      <c r="U21" s="85">
        <v>0</v>
      </c>
      <c r="V21" s="126">
        <f t="shared" ref="V21:V29" si="19">SUM(T21:U21)</f>
        <v>516</v>
      </c>
      <c r="W21" s="78">
        <f t="shared" si="12"/>
        <v>258</v>
      </c>
      <c r="X21" s="87">
        <f t="shared" ref="X21:X72" si="20">V21/35</f>
        <v>14.742857142857142</v>
      </c>
      <c r="Y21" s="88">
        <f t="shared" si="13"/>
        <v>18.428571428571427</v>
      </c>
      <c r="Z21" s="89">
        <f t="shared" ref="Z21:Z33" si="21">Q21-M21</f>
        <v>-2.9175925925925927</v>
      </c>
      <c r="AA21" s="89">
        <f t="shared" ref="AA21:AA33" si="22">X21-M21</f>
        <v>7.742857142857142</v>
      </c>
      <c r="AB21" s="89">
        <f t="shared" si="10"/>
        <v>11.428571428571427</v>
      </c>
      <c r="AC21" s="90">
        <v>5</v>
      </c>
      <c r="AD21" s="91">
        <f>P21/30</f>
        <v>4.0824074074074073</v>
      </c>
      <c r="AE21" s="92" t="s">
        <v>38</v>
      </c>
      <c r="AF21" s="92" t="s">
        <v>38</v>
      </c>
      <c r="AG21" s="92" t="s">
        <v>38</v>
      </c>
      <c r="AH21" s="92" t="s">
        <v>38</v>
      </c>
      <c r="AI21" s="92" t="s">
        <v>38</v>
      </c>
      <c r="AJ21" s="93" t="s">
        <v>38</v>
      </c>
      <c r="AK21" s="93" t="s">
        <v>38</v>
      </c>
      <c r="AL21" s="93" t="s">
        <v>38</v>
      </c>
      <c r="AM21" s="93" t="s">
        <v>38</v>
      </c>
      <c r="AN21" s="93" t="s">
        <v>38</v>
      </c>
      <c r="AO21" s="94"/>
      <c r="AP21" s="95"/>
    </row>
    <row r="22" spans="1:42" s="7" customFormat="1" ht="21.95" customHeight="1" x14ac:dyDescent="0.2">
      <c r="A22" s="127" t="s">
        <v>56</v>
      </c>
      <c r="B22" s="263" t="s">
        <v>22</v>
      </c>
      <c r="C22" s="75" t="s">
        <v>38</v>
      </c>
      <c r="D22" s="75">
        <v>1</v>
      </c>
      <c r="E22" s="75">
        <v>1</v>
      </c>
      <c r="F22" s="75" t="s">
        <v>38</v>
      </c>
      <c r="G22" s="76" t="s">
        <v>38</v>
      </c>
      <c r="H22" s="76" t="s">
        <v>38</v>
      </c>
      <c r="I22" s="76">
        <v>2</v>
      </c>
      <c r="J22" s="77">
        <v>3</v>
      </c>
      <c r="K22" s="78">
        <f t="shared" ref="K22:K45" si="23">SUM(C22:J22)</f>
        <v>7</v>
      </c>
      <c r="L22" s="79">
        <v>0</v>
      </c>
      <c r="M22" s="218">
        <f t="shared" si="17"/>
        <v>7</v>
      </c>
      <c r="N22" s="81">
        <v>50.861111111111114</v>
      </c>
      <c r="O22" s="81">
        <v>0</v>
      </c>
      <c r="P22" s="82">
        <f>SUM(N22:N22)</f>
        <v>50.861111111111114</v>
      </c>
      <c r="Q22" s="83">
        <f>P22/8</f>
        <v>6.3576388888888893</v>
      </c>
      <c r="R22" s="84">
        <f t="shared" si="18"/>
        <v>53.404166666666669</v>
      </c>
      <c r="S22" s="83">
        <f>R22/8</f>
        <v>6.6755208333333336</v>
      </c>
      <c r="T22" s="125">
        <v>233</v>
      </c>
      <c r="U22" s="85">
        <v>0</v>
      </c>
      <c r="V22" s="126">
        <f t="shared" si="19"/>
        <v>233</v>
      </c>
      <c r="W22" s="78">
        <f t="shared" si="12"/>
        <v>116.5</v>
      </c>
      <c r="X22" s="87">
        <f t="shared" si="20"/>
        <v>6.6571428571428575</v>
      </c>
      <c r="Y22" s="88">
        <f t="shared" si="13"/>
        <v>8.3214285714285712</v>
      </c>
      <c r="Z22" s="89">
        <f t="shared" si="21"/>
        <v>-0.64236111111111072</v>
      </c>
      <c r="AA22" s="89">
        <f t="shared" si="22"/>
        <v>-0.34285714285714253</v>
      </c>
      <c r="AB22" s="89">
        <f t="shared" si="10"/>
        <v>1.3214285714285712</v>
      </c>
      <c r="AC22" s="90">
        <v>5</v>
      </c>
      <c r="AD22" s="128" t="s">
        <v>38</v>
      </c>
      <c r="AE22" s="92" t="s">
        <v>38</v>
      </c>
      <c r="AF22" s="92" t="s">
        <v>38</v>
      </c>
      <c r="AG22" s="92" t="s">
        <v>38</v>
      </c>
      <c r="AH22" s="92" t="s">
        <v>38</v>
      </c>
      <c r="AI22" s="92" t="s">
        <v>38</v>
      </c>
      <c r="AJ22" s="93" t="s">
        <v>38</v>
      </c>
      <c r="AK22" s="93" t="s">
        <v>38</v>
      </c>
      <c r="AL22" s="93" t="s">
        <v>38</v>
      </c>
      <c r="AM22" s="93" t="s">
        <v>38</v>
      </c>
      <c r="AN22" s="93" t="s">
        <v>38</v>
      </c>
      <c r="AO22" s="94"/>
      <c r="AP22" s="95"/>
    </row>
    <row r="23" spans="1:42" s="7" customFormat="1" ht="21.95" customHeight="1" x14ac:dyDescent="0.2">
      <c r="A23" s="127" t="s">
        <v>57</v>
      </c>
      <c r="B23" s="263" t="s">
        <v>21</v>
      </c>
      <c r="C23" s="96" t="s">
        <v>38</v>
      </c>
      <c r="D23" s="96" t="s">
        <v>38</v>
      </c>
      <c r="E23" s="96">
        <v>1</v>
      </c>
      <c r="F23" s="96" t="s">
        <v>38</v>
      </c>
      <c r="G23" s="97" t="s">
        <v>38</v>
      </c>
      <c r="H23" s="97" t="s">
        <v>38</v>
      </c>
      <c r="I23" s="97">
        <v>6</v>
      </c>
      <c r="J23" s="97">
        <v>1</v>
      </c>
      <c r="K23" s="78">
        <f t="shared" si="23"/>
        <v>8</v>
      </c>
      <c r="L23" s="79">
        <v>0</v>
      </c>
      <c r="M23" s="218">
        <f t="shared" si="17"/>
        <v>8</v>
      </c>
      <c r="N23" s="81">
        <v>154.83333333333334</v>
      </c>
      <c r="O23" s="81">
        <v>0</v>
      </c>
      <c r="P23" s="82">
        <f>SUM(N23:N23)</f>
        <v>154.83333333333334</v>
      </c>
      <c r="Q23" s="83">
        <f>P23/30</f>
        <v>5.1611111111111114</v>
      </c>
      <c r="R23" s="84">
        <f t="shared" si="18"/>
        <v>162.57500000000002</v>
      </c>
      <c r="S23" s="83">
        <f>R23/30</f>
        <v>5.4191666666666674</v>
      </c>
      <c r="T23" s="125">
        <v>210</v>
      </c>
      <c r="U23" s="85">
        <v>0</v>
      </c>
      <c r="V23" s="126">
        <f t="shared" si="19"/>
        <v>210</v>
      </c>
      <c r="W23" s="78">
        <f t="shared" si="12"/>
        <v>105</v>
      </c>
      <c r="X23" s="87">
        <f t="shared" si="20"/>
        <v>6</v>
      </c>
      <c r="Y23" s="88">
        <f t="shared" si="13"/>
        <v>7.5</v>
      </c>
      <c r="Z23" s="89">
        <f t="shared" si="21"/>
        <v>-2.8388888888888886</v>
      </c>
      <c r="AA23" s="89">
        <f t="shared" si="22"/>
        <v>-2</v>
      </c>
      <c r="AB23" s="89">
        <f t="shared" si="10"/>
        <v>-0.5</v>
      </c>
      <c r="AC23" s="90">
        <v>5</v>
      </c>
      <c r="AD23" s="91">
        <f>P23/30</f>
        <v>5.1611111111111114</v>
      </c>
      <c r="AE23" s="92" t="s">
        <v>38</v>
      </c>
      <c r="AF23" s="92" t="s">
        <v>38</v>
      </c>
      <c r="AG23" s="92" t="s">
        <v>38</v>
      </c>
      <c r="AH23" s="92" t="s">
        <v>38</v>
      </c>
      <c r="AI23" s="92" t="s">
        <v>38</v>
      </c>
      <c r="AJ23" s="93" t="s">
        <v>38</v>
      </c>
      <c r="AK23" s="93" t="s">
        <v>38</v>
      </c>
      <c r="AL23" s="93" t="s">
        <v>38</v>
      </c>
      <c r="AM23" s="93" t="s">
        <v>38</v>
      </c>
      <c r="AN23" s="93" t="s">
        <v>38</v>
      </c>
      <c r="AO23" s="94"/>
      <c r="AP23" s="95"/>
    </row>
    <row r="24" spans="1:42" s="7" customFormat="1" ht="21.95" customHeight="1" x14ac:dyDescent="0.55000000000000004">
      <c r="A24" s="129" t="s">
        <v>58</v>
      </c>
      <c r="B24" s="263" t="s">
        <v>23</v>
      </c>
      <c r="C24" s="75" t="s">
        <v>38</v>
      </c>
      <c r="D24" s="75" t="s">
        <v>38</v>
      </c>
      <c r="E24" s="75">
        <v>1</v>
      </c>
      <c r="F24" s="75" t="s">
        <v>38</v>
      </c>
      <c r="G24" s="76" t="s">
        <v>38</v>
      </c>
      <c r="H24" s="76" t="s">
        <v>38</v>
      </c>
      <c r="I24" s="76">
        <v>4</v>
      </c>
      <c r="J24" s="77">
        <v>3</v>
      </c>
      <c r="K24" s="78">
        <f t="shared" si="23"/>
        <v>8</v>
      </c>
      <c r="L24" s="79">
        <v>0</v>
      </c>
      <c r="M24" s="218">
        <f t="shared" si="17"/>
        <v>8</v>
      </c>
      <c r="N24" s="81">
        <v>399.78</v>
      </c>
      <c r="O24" s="81">
        <v>0</v>
      </c>
      <c r="P24" s="82">
        <f>SUM(N24:N24)</f>
        <v>399.78</v>
      </c>
      <c r="Q24" s="83">
        <f>P24/50</f>
        <v>7.9955999999999996</v>
      </c>
      <c r="R24" s="84">
        <f t="shared" si="18"/>
        <v>419.76899999999995</v>
      </c>
      <c r="S24" s="83">
        <f>R24/50</f>
        <v>8.3953799999999994</v>
      </c>
      <c r="T24" s="125">
        <v>194</v>
      </c>
      <c r="U24" s="85">
        <v>0</v>
      </c>
      <c r="V24" s="126">
        <f t="shared" si="19"/>
        <v>194</v>
      </c>
      <c r="W24" s="78">
        <f t="shared" si="12"/>
        <v>97</v>
      </c>
      <c r="X24" s="87">
        <f t="shared" si="20"/>
        <v>5.5428571428571427</v>
      </c>
      <c r="Y24" s="88">
        <f t="shared" si="13"/>
        <v>6.9285714285714288</v>
      </c>
      <c r="Z24" s="89">
        <f t="shared" si="21"/>
        <v>-4.4000000000004036E-3</v>
      </c>
      <c r="AA24" s="89">
        <f t="shared" si="22"/>
        <v>-2.4571428571428573</v>
      </c>
      <c r="AB24" s="89">
        <f t="shared" si="10"/>
        <v>-1.0714285714285712</v>
      </c>
      <c r="AC24" s="90">
        <v>5</v>
      </c>
      <c r="AD24" s="128" t="s">
        <v>38</v>
      </c>
      <c r="AE24" s="92" t="s">
        <v>38</v>
      </c>
      <c r="AF24" s="92" t="s">
        <v>38</v>
      </c>
      <c r="AG24" s="92" t="s">
        <v>38</v>
      </c>
      <c r="AH24" s="92" t="s">
        <v>38</v>
      </c>
      <c r="AI24" s="92">
        <v>1</v>
      </c>
      <c r="AJ24" s="93" t="s">
        <v>38</v>
      </c>
      <c r="AK24" s="93" t="s">
        <v>38</v>
      </c>
      <c r="AL24" s="93" t="s">
        <v>38</v>
      </c>
      <c r="AM24" s="93" t="s">
        <v>38</v>
      </c>
      <c r="AN24" s="93" t="s">
        <v>38</v>
      </c>
      <c r="AO24" s="94" t="s">
        <v>130</v>
      </c>
      <c r="AP24" s="95"/>
    </row>
    <row r="25" spans="1:42" s="7" customFormat="1" ht="21.95" customHeight="1" x14ac:dyDescent="0.2">
      <c r="A25" s="123" t="s">
        <v>59</v>
      </c>
      <c r="B25" s="263" t="s">
        <v>24</v>
      </c>
      <c r="C25" s="75" t="s">
        <v>38</v>
      </c>
      <c r="D25" s="75" t="s">
        <v>38</v>
      </c>
      <c r="E25" s="75">
        <v>2</v>
      </c>
      <c r="F25" s="75" t="s">
        <v>38</v>
      </c>
      <c r="G25" s="76" t="s">
        <v>38</v>
      </c>
      <c r="H25" s="76" t="s">
        <v>38</v>
      </c>
      <c r="I25" s="76">
        <v>2</v>
      </c>
      <c r="J25" s="77">
        <v>1</v>
      </c>
      <c r="K25" s="78">
        <f t="shared" si="23"/>
        <v>5</v>
      </c>
      <c r="L25" s="79">
        <v>0</v>
      </c>
      <c r="M25" s="218">
        <f t="shared" si="17"/>
        <v>5</v>
      </c>
      <c r="N25" s="81">
        <v>60.5</v>
      </c>
      <c r="O25" s="81">
        <v>0</v>
      </c>
      <c r="P25" s="82">
        <f>SUM(N25:N25)</f>
        <v>60.5</v>
      </c>
      <c r="Q25" s="83">
        <f>P25/8</f>
        <v>7.5625</v>
      </c>
      <c r="R25" s="84">
        <f t="shared" si="18"/>
        <v>63.524999999999999</v>
      </c>
      <c r="S25" s="83">
        <f>R25/8</f>
        <v>7.9406249999999998</v>
      </c>
      <c r="T25" s="103">
        <v>113</v>
      </c>
      <c r="U25" s="85">
        <v>0</v>
      </c>
      <c r="V25" s="78">
        <f t="shared" si="19"/>
        <v>113</v>
      </c>
      <c r="W25" s="78">
        <f t="shared" si="12"/>
        <v>56.5</v>
      </c>
      <c r="X25" s="87">
        <f t="shared" si="20"/>
        <v>3.2285714285714286</v>
      </c>
      <c r="Y25" s="88">
        <f t="shared" si="13"/>
        <v>4.0357142857142856</v>
      </c>
      <c r="Z25" s="89">
        <f t="shared" si="21"/>
        <v>2.5625</v>
      </c>
      <c r="AA25" s="89">
        <f t="shared" si="22"/>
        <v>-1.7714285714285714</v>
      </c>
      <c r="AB25" s="89">
        <f t="shared" si="10"/>
        <v>-0.96428571428571441</v>
      </c>
      <c r="AC25" s="90">
        <v>5</v>
      </c>
      <c r="AD25" s="128" t="s">
        <v>38</v>
      </c>
      <c r="AE25" s="92" t="s">
        <v>38</v>
      </c>
      <c r="AF25" s="92" t="s">
        <v>38</v>
      </c>
      <c r="AG25" s="92" t="s">
        <v>38</v>
      </c>
      <c r="AH25" s="92" t="s">
        <v>38</v>
      </c>
      <c r="AI25" s="92">
        <v>1</v>
      </c>
      <c r="AJ25" s="93" t="s">
        <v>38</v>
      </c>
      <c r="AK25" s="93" t="s">
        <v>38</v>
      </c>
      <c r="AL25" s="93" t="s">
        <v>38</v>
      </c>
      <c r="AM25" s="93" t="s">
        <v>38</v>
      </c>
      <c r="AN25" s="93" t="s">
        <v>38</v>
      </c>
      <c r="AO25" s="94" t="s">
        <v>133</v>
      </c>
      <c r="AP25" s="95"/>
    </row>
    <row r="26" spans="1:42" s="7" customFormat="1" ht="21.95" customHeight="1" x14ac:dyDescent="0.2">
      <c r="A26" s="123" t="s">
        <v>60</v>
      </c>
      <c r="B26" s="263" t="s">
        <v>21</v>
      </c>
      <c r="C26" s="75" t="s">
        <v>38</v>
      </c>
      <c r="D26" s="75" t="s">
        <v>38</v>
      </c>
      <c r="E26" s="75">
        <v>1</v>
      </c>
      <c r="F26" s="75" t="s">
        <v>38</v>
      </c>
      <c r="G26" s="76" t="s">
        <v>38</v>
      </c>
      <c r="H26" s="76" t="s">
        <v>38</v>
      </c>
      <c r="I26" s="76">
        <v>5</v>
      </c>
      <c r="J26" s="77">
        <v>3</v>
      </c>
      <c r="K26" s="78">
        <f t="shared" si="23"/>
        <v>9</v>
      </c>
      <c r="L26" s="79">
        <v>0</v>
      </c>
      <c r="M26" s="218">
        <f t="shared" si="17"/>
        <v>9</v>
      </c>
      <c r="N26" s="81">
        <v>241.52777777777777</v>
      </c>
      <c r="O26" s="81">
        <v>0</v>
      </c>
      <c r="P26" s="82">
        <f t="shared" ref="P26:P44" si="24">SUM(N26:O26)</f>
        <v>241.52777777777777</v>
      </c>
      <c r="Q26" s="83">
        <f>P26/20</f>
        <v>12.076388888888889</v>
      </c>
      <c r="R26" s="84">
        <f t="shared" si="18"/>
        <v>253.60416666666666</v>
      </c>
      <c r="S26" s="83">
        <f>R26/20</f>
        <v>12.680208333333333</v>
      </c>
      <c r="T26" s="103">
        <v>221</v>
      </c>
      <c r="U26" s="85">
        <v>0</v>
      </c>
      <c r="V26" s="78">
        <f t="shared" si="19"/>
        <v>221</v>
      </c>
      <c r="W26" s="78">
        <f t="shared" si="12"/>
        <v>110.5</v>
      </c>
      <c r="X26" s="87">
        <f t="shared" si="20"/>
        <v>6.3142857142857141</v>
      </c>
      <c r="Y26" s="88">
        <f t="shared" si="13"/>
        <v>7.8928571428571432</v>
      </c>
      <c r="Z26" s="89">
        <f t="shared" si="21"/>
        <v>3.0763888888888893</v>
      </c>
      <c r="AA26" s="89">
        <f t="shared" si="22"/>
        <v>-2.6857142857142859</v>
      </c>
      <c r="AB26" s="89">
        <f t="shared" si="10"/>
        <v>-1.1071428571428568</v>
      </c>
      <c r="AC26" s="90">
        <v>5</v>
      </c>
      <c r="AD26" s="91">
        <f>P26/30</f>
        <v>8.0509259259259256</v>
      </c>
      <c r="AE26" s="92" t="s">
        <v>38</v>
      </c>
      <c r="AF26" s="92" t="s">
        <v>38</v>
      </c>
      <c r="AG26" s="92" t="s">
        <v>38</v>
      </c>
      <c r="AH26" s="92">
        <v>2</v>
      </c>
      <c r="AI26" s="92" t="s">
        <v>38</v>
      </c>
      <c r="AJ26" s="93" t="s">
        <v>38</v>
      </c>
      <c r="AK26" s="93" t="s">
        <v>38</v>
      </c>
      <c r="AL26" s="93" t="s">
        <v>38</v>
      </c>
      <c r="AM26" s="93" t="s">
        <v>38</v>
      </c>
      <c r="AN26" s="93" t="s">
        <v>38</v>
      </c>
      <c r="AO26" s="94" t="s">
        <v>130</v>
      </c>
      <c r="AP26" s="95"/>
    </row>
    <row r="27" spans="1:42" s="7" customFormat="1" ht="21.95" customHeight="1" x14ac:dyDescent="0.2">
      <c r="A27" s="123" t="s">
        <v>61</v>
      </c>
      <c r="B27" s="263" t="s">
        <v>21</v>
      </c>
      <c r="C27" s="75" t="s">
        <v>38</v>
      </c>
      <c r="D27" s="75" t="s">
        <v>38</v>
      </c>
      <c r="E27" s="75" t="s">
        <v>38</v>
      </c>
      <c r="F27" s="75">
        <v>1</v>
      </c>
      <c r="G27" s="76" t="s">
        <v>38</v>
      </c>
      <c r="H27" s="76" t="s">
        <v>38</v>
      </c>
      <c r="I27" s="76">
        <v>2</v>
      </c>
      <c r="J27" s="77">
        <v>5</v>
      </c>
      <c r="K27" s="78">
        <f t="shared" si="23"/>
        <v>8</v>
      </c>
      <c r="L27" s="79">
        <v>0</v>
      </c>
      <c r="M27" s="218">
        <f t="shared" si="17"/>
        <v>8</v>
      </c>
      <c r="N27" s="81">
        <v>98.972222222222229</v>
      </c>
      <c r="O27" s="81">
        <v>0</v>
      </c>
      <c r="P27" s="82">
        <f t="shared" si="24"/>
        <v>98.972222222222229</v>
      </c>
      <c r="Q27" s="83">
        <f>P27/20</f>
        <v>4.9486111111111111</v>
      </c>
      <c r="R27" s="84">
        <f t="shared" si="18"/>
        <v>103.92083333333333</v>
      </c>
      <c r="S27" s="83">
        <f>R27/20</f>
        <v>5.1960416666666669</v>
      </c>
      <c r="T27" s="103">
        <v>125</v>
      </c>
      <c r="U27" s="85">
        <v>0</v>
      </c>
      <c r="V27" s="78">
        <f t="shared" si="19"/>
        <v>125</v>
      </c>
      <c r="W27" s="78">
        <f t="shared" si="12"/>
        <v>62.5</v>
      </c>
      <c r="X27" s="87">
        <f t="shared" si="20"/>
        <v>3.5714285714285716</v>
      </c>
      <c r="Y27" s="88">
        <f t="shared" si="13"/>
        <v>4.4642857142857144</v>
      </c>
      <c r="Z27" s="89">
        <f t="shared" si="21"/>
        <v>-3.0513888888888889</v>
      </c>
      <c r="AA27" s="89">
        <f t="shared" si="22"/>
        <v>-4.4285714285714288</v>
      </c>
      <c r="AB27" s="89">
        <f t="shared" si="10"/>
        <v>-3.5357142857142856</v>
      </c>
      <c r="AC27" s="90">
        <v>5</v>
      </c>
      <c r="AD27" s="128" t="s">
        <v>38</v>
      </c>
      <c r="AE27" s="92" t="s">
        <v>38</v>
      </c>
      <c r="AF27" s="92" t="s">
        <v>38</v>
      </c>
      <c r="AG27" s="92">
        <v>1</v>
      </c>
      <c r="AH27" s="92" t="s">
        <v>38</v>
      </c>
      <c r="AI27" s="92" t="s">
        <v>38</v>
      </c>
      <c r="AJ27" s="93" t="s">
        <v>38</v>
      </c>
      <c r="AK27" s="93" t="s">
        <v>38</v>
      </c>
      <c r="AL27" s="93" t="s">
        <v>38</v>
      </c>
      <c r="AM27" s="93" t="s">
        <v>38</v>
      </c>
      <c r="AN27" s="93" t="s">
        <v>38</v>
      </c>
      <c r="AO27" s="94" t="s">
        <v>130</v>
      </c>
      <c r="AP27" s="95"/>
    </row>
    <row r="28" spans="1:42" s="7" customFormat="1" ht="21.95" customHeight="1" x14ac:dyDescent="0.2">
      <c r="A28" s="123" t="s">
        <v>62</v>
      </c>
      <c r="B28" s="263" t="s">
        <v>352</v>
      </c>
      <c r="C28" s="96" t="s">
        <v>38</v>
      </c>
      <c r="D28" s="96" t="s">
        <v>38</v>
      </c>
      <c r="E28" s="96" t="s">
        <v>38</v>
      </c>
      <c r="F28" s="96" t="s">
        <v>38</v>
      </c>
      <c r="G28" s="97" t="s">
        <v>38</v>
      </c>
      <c r="H28" s="97" t="s">
        <v>38</v>
      </c>
      <c r="I28" s="97" t="s">
        <v>38</v>
      </c>
      <c r="J28" s="314">
        <v>6</v>
      </c>
      <c r="K28" s="78">
        <f t="shared" si="23"/>
        <v>6</v>
      </c>
      <c r="L28" s="79">
        <v>0</v>
      </c>
      <c r="M28" s="218">
        <f t="shared" si="17"/>
        <v>6</v>
      </c>
      <c r="N28" s="81">
        <v>249.69444444444446</v>
      </c>
      <c r="O28" s="81">
        <v>0</v>
      </c>
      <c r="P28" s="82">
        <f t="shared" si="24"/>
        <v>249.69444444444446</v>
      </c>
      <c r="Q28" s="83">
        <f>P28/25</f>
        <v>9.9877777777777776</v>
      </c>
      <c r="R28" s="84">
        <f t="shared" si="18"/>
        <v>262.17916666666667</v>
      </c>
      <c r="S28" s="83">
        <f>R28/25</f>
        <v>10.487166666666667</v>
      </c>
      <c r="T28" s="85">
        <f>276+12</f>
        <v>288</v>
      </c>
      <c r="U28" s="85">
        <v>0</v>
      </c>
      <c r="V28" s="78">
        <f t="shared" si="19"/>
        <v>288</v>
      </c>
      <c r="W28" s="78">
        <f t="shared" si="12"/>
        <v>144</v>
      </c>
      <c r="X28" s="87">
        <f t="shared" si="20"/>
        <v>8.2285714285714278</v>
      </c>
      <c r="Y28" s="88">
        <f t="shared" si="13"/>
        <v>10.285714285714286</v>
      </c>
      <c r="Z28" s="89">
        <f t="shared" si="21"/>
        <v>3.9877777777777776</v>
      </c>
      <c r="AA28" s="89">
        <f t="shared" si="22"/>
        <v>2.2285714285714278</v>
      </c>
      <c r="AB28" s="89">
        <f t="shared" si="10"/>
        <v>4.2857142857142865</v>
      </c>
      <c r="AC28" s="90">
        <v>5</v>
      </c>
      <c r="AD28" s="128" t="s">
        <v>38</v>
      </c>
      <c r="AE28" s="92" t="s">
        <v>38</v>
      </c>
      <c r="AF28" s="92" t="s">
        <v>38</v>
      </c>
      <c r="AG28" s="92" t="s">
        <v>38</v>
      </c>
      <c r="AH28" s="92" t="s">
        <v>38</v>
      </c>
      <c r="AI28" s="92" t="s">
        <v>38</v>
      </c>
      <c r="AJ28" s="93" t="s">
        <v>38</v>
      </c>
      <c r="AK28" s="93" t="s">
        <v>38</v>
      </c>
      <c r="AL28" s="93" t="s">
        <v>38</v>
      </c>
      <c r="AM28" s="93" t="s">
        <v>38</v>
      </c>
      <c r="AN28" s="93" t="s">
        <v>38</v>
      </c>
      <c r="AO28" s="94"/>
      <c r="AP28" s="95"/>
    </row>
    <row r="29" spans="1:42" s="7" customFormat="1" ht="21.95" customHeight="1" x14ac:dyDescent="0.2">
      <c r="A29" s="123" t="s">
        <v>63</v>
      </c>
      <c r="B29" s="263" t="s">
        <v>281</v>
      </c>
      <c r="C29" s="75" t="s">
        <v>38</v>
      </c>
      <c r="D29" s="75" t="s">
        <v>38</v>
      </c>
      <c r="E29" s="75">
        <v>1</v>
      </c>
      <c r="F29" s="75">
        <v>1</v>
      </c>
      <c r="G29" s="76" t="s">
        <v>38</v>
      </c>
      <c r="H29" s="76" t="s">
        <v>38</v>
      </c>
      <c r="I29" s="76" t="s">
        <v>38</v>
      </c>
      <c r="J29" s="313">
        <v>4</v>
      </c>
      <c r="K29" s="78">
        <f t="shared" si="23"/>
        <v>6</v>
      </c>
      <c r="L29" s="79">
        <v>0</v>
      </c>
      <c r="M29" s="218">
        <f t="shared" si="17"/>
        <v>6</v>
      </c>
      <c r="N29" s="81">
        <v>160.02777777777777</v>
      </c>
      <c r="O29" s="81">
        <v>0</v>
      </c>
      <c r="P29" s="82">
        <f t="shared" si="24"/>
        <v>160.02777777777777</v>
      </c>
      <c r="Q29" s="83">
        <f>P29/25</f>
        <v>6.4011111111111108</v>
      </c>
      <c r="R29" s="84">
        <f t="shared" si="18"/>
        <v>168.02916666666667</v>
      </c>
      <c r="S29" s="83">
        <f>R29/25</f>
        <v>6.721166666666667</v>
      </c>
      <c r="T29" s="85">
        <f>136+12</f>
        <v>148</v>
      </c>
      <c r="U29" s="85">
        <v>0</v>
      </c>
      <c r="V29" s="78">
        <f t="shared" si="19"/>
        <v>148</v>
      </c>
      <c r="W29" s="78">
        <f t="shared" si="12"/>
        <v>74</v>
      </c>
      <c r="X29" s="87">
        <f t="shared" si="20"/>
        <v>4.2285714285714286</v>
      </c>
      <c r="Y29" s="88">
        <f t="shared" si="13"/>
        <v>5.2857142857142856</v>
      </c>
      <c r="Z29" s="89">
        <f t="shared" si="21"/>
        <v>0.40111111111111075</v>
      </c>
      <c r="AA29" s="89">
        <f t="shared" si="22"/>
        <v>-1.7714285714285714</v>
      </c>
      <c r="AB29" s="89">
        <f t="shared" si="10"/>
        <v>-0.71428571428571441</v>
      </c>
      <c r="AC29" s="90">
        <v>5</v>
      </c>
      <c r="AD29" s="128" t="s">
        <v>38</v>
      </c>
      <c r="AE29" s="92" t="s">
        <v>38</v>
      </c>
      <c r="AF29" s="92" t="s">
        <v>38</v>
      </c>
      <c r="AG29" s="92" t="s">
        <v>38</v>
      </c>
      <c r="AH29" s="92" t="s">
        <v>38</v>
      </c>
      <c r="AI29" s="92" t="s">
        <v>38</v>
      </c>
      <c r="AJ29" s="93" t="s">
        <v>38</v>
      </c>
      <c r="AK29" s="93" t="s">
        <v>38</v>
      </c>
      <c r="AL29" s="93" t="s">
        <v>38</v>
      </c>
      <c r="AM29" s="93" t="s">
        <v>38</v>
      </c>
      <c r="AN29" s="93" t="s">
        <v>38</v>
      </c>
      <c r="AO29" s="94"/>
      <c r="AP29" s="95"/>
    </row>
    <row r="30" spans="1:42" s="7" customFormat="1" ht="21.95" customHeight="1" x14ac:dyDescent="0.2">
      <c r="A30" s="342" t="s">
        <v>64</v>
      </c>
      <c r="B30" s="263" t="s">
        <v>19</v>
      </c>
      <c r="C30" s="75" t="s">
        <v>38</v>
      </c>
      <c r="D30" s="75" t="s">
        <v>38</v>
      </c>
      <c r="E30" s="75" t="s">
        <v>38</v>
      </c>
      <c r="F30" s="75" t="s">
        <v>38</v>
      </c>
      <c r="G30" s="76" t="s">
        <v>38</v>
      </c>
      <c r="H30" s="76" t="s">
        <v>38</v>
      </c>
      <c r="I30" s="76">
        <v>2</v>
      </c>
      <c r="J30" s="76">
        <v>1</v>
      </c>
      <c r="K30" s="78">
        <f t="shared" si="23"/>
        <v>3</v>
      </c>
      <c r="L30" s="131">
        <v>0</v>
      </c>
      <c r="M30" s="238">
        <f t="shared" si="17"/>
        <v>3</v>
      </c>
      <c r="N30" s="133">
        <v>0</v>
      </c>
      <c r="O30" s="81">
        <f>12.4583333333333*1.8</f>
        <v>22.42499999999994</v>
      </c>
      <c r="P30" s="82">
        <f t="shared" si="24"/>
        <v>22.42499999999994</v>
      </c>
      <c r="Q30" s="134">
        <f>P30/30</f>
        <v>0.74749999999999805</v>
      </c>
      <c r="R30" s="84">
        <f t="shared" si="18"/>
        <v>23.546249999999937</v>
      </c>
      <c r="S30" s="135">
        <f>R30/30</f>
        <v>0.78487499999999788</v>
      </c>
      <c r="T30" s="109">
        <v>0</v>
      </c>
      <c r="U30" s="136">
        <f>36+15</f>
        <v>51</v>
      </c>
      <c r="V30" s="78">
        <f>SUM(U30:U30)</f>
        <v>51</v>
      </c>
      <c r="W30" s="78">
        <f t="shared" si="12"/>
        <v>25.5</v>
      </c>
      <c r="X30" s="87">
        <f t="shared" si="20"/>
        <v>1.4571428571428571</v>
      </c>
      <c r="Y30" s="88">
        <f t="shared" si="13"/>
        <v>1.8214285714285714</v>
      </c>
      <c r="Z30" s="89">
        <f t="shared" si="21"/>
        <v>-2.2525000000000022</v>
      </c>
      <c r="AA30" s="89">
        <f t="shared" si="22"/>
        <v>-1.5428571428571429</v>
      </c>
      <c r="AB30" s="89">
        <f t="shared" si="10"/>
        <v>-1.1785714285714286</v>
      </c>
      <c r="AC30" s="90">
        <v>3</v>
      </c>
      <c r="AD30" s="128" t="s">
        <v>38</v>
      </c>
      <c r="AE30" s="92" t="s">
        <v>38</v>
      </c>
      <c r="AF30" s="92" t="s">
        <v>38</v>
      </c>
      <c r="AG30" s="92" t="s">
        <v>38</v>
      </c>
      <c r="AH30" s="92" t="s">
        <v>38</v>
      </c>
      <c r="AI30" s="92" t="s">
        <v>38</v>
      </c>
      <c r="AJ30" s="93" t="s">
        <v>38</v>
      </c>
      <c r="AK30" s="93" t="s">
        <v>38</v>
      </c>
      <c r="AL30" s="93" t="s">
        <v>38</v>
      </c>
      <c r="AM30" s="93" t="s">
        <v>38</v>
      </c>
      <c r="AN30" s="93" t="s">
        <v>38</v>
      </c>
      <c r="AO30" s="94"/>
      <c r="AP30" s="95"/>
    </row>
    <row r="31" spans="1:42" s="7" customFormat="1" ht="21.95" customHeight="1" x14ac:dyDescent="0.2">
      <c r="A31" s="342"/>
      <c r="B31" s="263" t="s">
        <v>21</v>
      </c>
      <c r="C31" s="75" t="s">
        <v>38</v>
      </c>
      <c r="D31" s="75" t="s">
        <v>38</v>
      </c>
      <c r="E31" s="75" t="s">
        <v>38</v>
      </c>
      <c r="F31" s="75">
        <v>1</v>
      </c>
      <c r="G31" s="76" t="s">
        <v>38</v>
      </c>
      <c r="H31" s="76" t="s">
        <v>38</v>
      </c>
      <c r="I31" s="76">
        <v>2</v>
      </c>
      <c r="J31" s="76">
        <v>2</v>
      </c>
      <c r="K31" s="78">
        <f t="shared" si="23"/>
        <v>5</v>
      </c>
      <c r="L31" s="131">
        <v>0</v>
      </c>
      <c r="M31" s="238">
        <f t="shared" si="17"/>
        <v>5</v>
      </c>
      <c r="N31" s="133">
        <v>248.97222222222223</v>
      </c>
      <c r="O31" s="98">
        <v>0</v>
      </c>
      <c r="P31" s="82">
        <f t="shared" si="24"/>
        <v>248.97222222222223</v>
      </c>
      <c r="Q31" s="134">
        <f>P31/30</f>
        <v>8.299074074074074</v>
      </c>
      <c r="R31" s="84">
        <f t="shared" si="18"/>
        <v>261.42083333333335</v>
      </c>
      <c r="S31" s="135">
        <f>R31/30</f>
        <v>8.7140277777777779</v>
      </c>
      <c r="T31" s="103">
        <v>269</v>
      </c>
      <c r="U31" s="136">
        <v>0</v>
      </c>
      <c r="V31" s="78">
        <f t="shared" ref="V31:V38" si="25">SUM(T31:U31)</f>
        <v>269</v>
      </c>
      <c r="W31" s="78">
        <f t="shared" si="12"/>
        <v>134.5</v>
      </c>
      <c r="X31" s="87">
        <f t="shared" si="20"/>
        <v>7.6857142857142859</v>
      </c>
      <c r="Y31" s="88">
        <f t="shared" si="13"/>
        <v>9.6071428571428577</v>
      </c>
      <c r="Z31" s="89">
        <f t="shared" si="21"/>
        <v>3.299074074074074</v>
      </c>
      <c r="AA31" s="89">
        <f t="shared" si="22"/>
        <v>2.6857142857142859</v>
      </c>
      <c r="AB31" s="89">
        <f t="shared" si="10"/>
        <v>4.6071428571428577</v>
      </c>
      <c r="AC31" s="90">
        <v>5</v>
      </c>
      <c r="AD31" s="128" t="s">
        <v>38</v>
      </c>
      <c r="AE31" s="92" t="s">
        <v>38</v>
      </c>
      <c r="AF31" s="92" t="s">
        <v>38</v>
      </c>
      <c r="AG31" s="92" t="s">
        <v>38</v>
      </c>
      <c r="AH31" s="92" t="s">
        <v>38</v>
      </c>
      <c r="AI31" s="92" t="s">
        <v>38</v>
      </c>
      <c r="AJ31" s="93" t="s">
        <v>38</v>
      </c>
      <c r="AK31" s="93" t="s">
        <v>38</v>
      </c>
      <c r="AL31" s="93" t="s">
        <v>38</v>
      </c>
      <c r="AM31" s="93" t="s">
        <v>38</v>
      </c>
      <c r="AN31" s="93" t="s">
        <v>38</v>
      </c>
      <c r="AO31" s="94" t="s">
        <v>134</v>
      </c>
      <c r="AP31" s="95"/>
    </row>
    <row r="32" spans="1:42" s="7" customFormat="1" ht="21.95" customHeight="1" x14ac:dyDescent="0.2">
      <c r="A32" s="342"/>
      <c r="B32" s="263" t="s">
        <v>279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 t="s">
        <v>38</v>
      </c>
      <c r="I32" s="312">
        <v>0</v>
      </c>
      <c r="J32" s="76">
        <v>4</v>
      </c>
      <c r="K32" s="78">
        <f t="shared" si="23"/>
        <v>4</v>
      </c>
      <c r="L32" s="131">
        <v>1</v>
      </c>
      <c r="M32" s="238">
        <f t="shared" si="17"/>
        <v>3</v>
      </c>
      <c r="N32" s="133">
        <v>244.5</v>
      </c>
      <c r="O32" s="98">
        <v>0</v>
      </c>
      <c r="P32" s="82">
        <f t="shared" si="24"/>
        <v>244.5</v>
      </c>
      <c r="Q32" s="134">
        <f>P32/25</f>
        <v>9.7799999999999994</v>
      </c>
      <c r="R32" s="84">
        <f t="shared" si="18"/>
        <v>256.72500000000002</v>
      </c>
      <c r="S32" s="135">
        <f>R32/25</f>
        <v>10.269</v>
      </c>
      <c r="T32" s="103">
        <f>205+263</f>
        <v>468</v>
      </c>
      <c r="U32" s="136">
        <v>0</v>
      </c>
      <c r="V32" s="78">
        <f t="shared" si="25"/>
        <v>468</v>
      </c>
      <c r="W32" s="78">
        <f t="shared" si="12"/>
        <v>234</v>
      </c>
      <c r="X32" s="87">
        <f t="shared" si="20"/>
        <v>13.371428571428572</v>
      </c>
      <c r="Y32" s="88">
        <f t="shared" si="13"/>
        <v>16.714285714285715</v>
      </c>
      <c r="Z32" s="89">
        <f t="shared" si="21"/>
        <v>6.7799999999999994</v>
      </c>
      <c r="AA32" s="89">
        <f t="shared" si="22"/>
        <v>10.371428571428572</v>
      </c>
      <c r="AB32" s="89">
        <f t="shared" si="10"/>
        <v>13.714285714285715</v>
      </c>
      <c r="AC32" s="90">
        <v>5</v>
      </c>
      <c r="AD32" s="128" t="s">
        <v>38</v>
      </c>
      <c r="AE32" s="92" t="s">
        <v>38</v>
      </c>
      <c r="AF32" s="92" t="s">
        <v>38</v>
      </c>
      <c r="AG32" s="92" t="s">
        <v>38</v>
      </c>
      <c r="AH32" s="92" t="s">
        <v>38</v>
      </c>
      <c r="AI32" s="92" t="s">
        <v>38</v>
      </c>
      <c r="AJ32" s="93" t="s">
        <v>38</v>
      </c>
      <c r="AK32" s="93" t="s">
        <v>38</v>
      </c>
      <c r="AL32" s="93" t="s">
        <v>38</v>
      </c>
      <c r="AM32" s="93" t="s">
        <v>38</v>
      </c>
      <c r="AN32" s="93" t="s">
        <v>38</v>
      </c>
      <c r="AO32" s="94" t="s">
        <v>132</v>
      </c>
      <c r="AP32" s="95"/>
    </row>
    <row r="33" spans="1:42" s="7" customFormat="1" ht="21.95" customHeight="1" x14ac:dyDescent="0.2">
      <c r="A33" s="342"/>
      <c r="B33" s="263" t="s">
        <v>263</v>
      </c>
      <c r="C33" s="75" t="s">
        <v>38</v>
      </c>
      <c r="D33" s="75" t="s">
        <v>38</v>
      </c>
      <c r="E33" s="75" t="s">
        <v>38</v>
      </c>
      <c r="F33" s="75" t="s">
        <v>38</v>
      </c>
      <c r="G33" s="76" t="s">
        <v>38</v>
      </c>
      <c r="H33" s="76"/>
      <c r="I33" s="76">
        <v>2</v>
      </c>
      <c r="J33" s="76">
        <v>4</v>
      </c>
      <c r="K33" s="78">
        <f t="shared" si="23"/>
        <v>6</v>
      </c>
      <c r="L33" s="131">
        <v>0</v>
      </c>
      <c r="M33" s="238">
        <f t="shared" si="17"/>
        <v>6</v>
      </c>
      <c r="N33" s="81">
        <v>63.5</v>
      </c>
      <c r="O33" s="98">
        <v>0</v>
      </c>
      <c r="P33" s="82">
        <f t="shared" si="24"/>
        <v>63.5</v>
      </c>
      <c r="Q33" s="134">
        <f>P33/25</f>
        <v>2.54</v>
      </c>
      <c r="R33" s="84">
        <f t="shared" si="18"/>
        <v>66.674999999999997</v>
      </c>
      <c r="S33" s="135">
        <f>R33/25</f>
        <v>2.6669999999999998</v>
      </c>
      <c r="T33" s="137">
        <v>62</v>
      </c>
      <c r="U33" s="136">
        <v>0</v>
      </c>
      <c r="V33" s="78">
        <f t="shared" si="25"/>
        <v>62</v>
      </c>
      <c r="W33" s="78">
        <f t="shared" si="12"/>
        <v>31</v>
      </c>
      <c r="X33" s="87">
        <f t="shared" si="20"/>
        <v>1.7714285714285714</v>
      </c>
      <c r="Y33" s="88">
        <f t="shared" si="13"/>
        <v>2.2142857142857144</v>
      </c>
      <c r="Z33" s="89">
        <f t="shared" si="21"/>
        <v>-3.46</v>
      </c>
      <c r="AA33" s="89">
        <f t="shared" si="22"/>
        <v>-4.2285714285714286</v>
      </c>
      <c r="AB33" s="89">
        <f t="shared" si="10"/>
        <v>-3.7857142857142856</v>
      </c>
      <c r="AC33" s="90"/>
      <c r="AD33" s="128" t="s">
        <v>38</v>
      </c>
      <c r="AE33" s="92"/>
      <c r="AF33" s="92"/>
      <c r="AG33" s="92"/>
      <c r="AH33" s="92"/>
      <c r="AI33" s="92"/>
      <c r="AJ33" s="93"/>
      <c r="AK33" s="93"/>
      <c r="AL33" s="93"/>
      <c r="AM33" s="93"/>
      <c r="AN33" s="93"/>
      <c r="AO33" s="94"/>
      <c r="AP33" s="95"/>
    </row>
    <row r="34" spans="1:42" s="10" customFormat="1" ht="21.95" customHeight="1" x14ac:dyDescent="0.2">
      <c r="A34" s="138" t="s">
        <v>65</v>
      </c>
      <c r="B34" s="262" t="s">
        <v>38</v>
      </c>
      <c r="C34" s="96" t="s">
        <v>38</v>
      </c>
      <c r="D34" s="96" t="s">
        <v>38</v>
      </c>
      <c r="E34" s="96" t="s">
        <v>38</v>
      </c>
      <c r="F34" s="96" t="s">
        <v>38</v>
      </c>
      <c r="G34" s="97" t="s">
        <v>38</v>
      </c>
      <c r="H34" s="97" t="s">
        <v>38</v>
      </c>
      <c r="I34" s="97" t="s">
        <v>38</v>
      </c>
      <c r="J34" s="97">
        <v>2</v>
      </c>
      <c r="K34" s="78">
        <f t="shared" si="23"/>
        <v>2</v>
      </c>
      <c r="L34" s="79">
        <v>0</v>
      </c>
      <c r="M34" s="236">
        <f t="shared" si="17"/>
        <v>2</v>
      </c>
      <c r="N34" s="98">
        <v>0</v>
      </c>
      <c r="O34" s="98">
        <v>0</v>
      </c>
      <c r="P34" s="82">
        <f t="shared" si="24"/>
        <v>0</v>
      </c>
      <c r="Q34" s="83">
        <v>0</v>
      </c>
      <c r="R34" s="84">
        <f t="shared" si="18"/>
        <v>0</v>
      </c>
      <c r="S34" s="83">
        <v>0</v>
      </c>
      <c r="T34" s="85">
        <v>0</v>
      </c>
      <c r="U34" s="85">
        <v>0</v>
      </c>
      <c r="V34" s="78">
        <f t="shared" si="25"/>
        <v>0</v>
      </c>
      <c r="W34" s="78">
        <f t="shared" si="12"/>
        <v>0</v>
      </c>
      <c r="X34" s="87">
        <f t="shared" si="20"/>
        <v>0</v>
      </c>
      <c r="Y34" s="88">
        <f t="shared" si="13"/>
        <v>0</v>
      </c>
      <c r="Z34" s="100">
        <v>0</v>
      </c>
      <c r="AA34" s="100">
        <v>0</v>
      </c>
      <c r="AB34" s="100">
        <v>0</v>
      </c>
      <c r="AC34" s="90">
        <v>5</v>
      </c>
      <c r="AD34" s="128" t="s">
        <v>38</v>
      </c>
      <c r="AE34" s="101" t="s">
        <v>38</v>
      </c>
      <c r="AF34" s="101" t="s">
        <v>38</v>
      </c>
      <c r="AG34" s="101" t="s">
        <v>38</v>
      </c>
      <c r="AH34" s="101" t="s">
        <v>38</v>
      </c>
      <c r="AI34" s="101" t="s">
        <v>38</v>
      </c>
      <c r="AJ34" s="93" t="s">
        <v>38</v>
      </c>
      <c r="AK34" s="93" t="s">
        <v>38</v>
      </c>
      <c r="AL34" s="93" t="s">
        <v>38</v>
      </c>
      <c r="AM34" s="93" t="s">
        <v>38</v>
      </c>
      <c r="AN34" s="93" t="s">
        <v>38</v>
      </c>
      <c r="AO34" s="94"/>
      <c r="AP34" s="63"/>
    </row>
    <row r="35" spans="1:42" s="8" customFormat="1" ht="21.95" customHeight="1" x14ac:dyDescent="0.2">
      <c r="A35" s="343" t="s">
        <v>66</v>
      </c>
      <c r="B35" s="263" t="s">
        <v>21</v>
      </c>
      <c r="C35" s="75" t="s">
        <v>38</v>
      </c>
      <c r="D35" s="75" t="s">
        <v>38</v>
      </c>
      <c r="E35" s="75" t="s">
        <v>38</v>
      </c>
      <c r="F35" s="75" t="s">
        <v>38</v>
      </c>
      <c r="G35" s="76" t="s">
        <v>38</v>
      </c>
      <c r="H35" s="76" t="s">
        <v>38</v>
      </c>
      <c r="I35" s="76">
        <v>1</v>
      </c>
      <c r="J35" s="76">
        <v>5</v>
      </c>
      <c r="K35" s="78">
        <f t="shared" si="23"/>
        <v>6</v>
      </c>
      <c r="L35" s="79">
        <v>0</v>
      </c>
      <c r="M35" s="237">
        <f t="shared" si="17"/>
        <v>6</v>
      </c>
      <c r="N35" s="98">
        <v>0</v>
      </c>
      <c r="O35" s="98">
        <f>10.875*1.8</f>
        <v>19.574999999999999</v>
      </c>
      <c r="P35" s="82">
        <f t="shared" si="24"/>
        <v>19.574999999999999</v>
      </c>
      <c r="Q35" s="134">
        <f>P35/30</f>
        <v>0.65249999999999997</v>
      </c>
      <c r="R35" s="84">
        <f t="shared" si="18"/>
        <v>20.553750000000001</v>
      </c>
      <c r="S35" s="135">
        <f>R35/30</f>
        <v>0.68512499999999998</v>
      </c>
      <c r="T35" s="103">
        <v>213</v>
      </c>
      <c r="U35" s="136">
        <v>0</v>
      </c>
      <c r="V35" s="130">
        <f t="shared" si="25"/>
        <v>213</v>
      </c>
      <c r="W35" s="78">
        <f t="shared" si="12"/>
        <v>106.5</v>
      </c>
      <c r="X35" s="87">
        <f t="shared" si="20"/>
        <v>6.0857142857142854</v>
      </c>
      <c r="Y35" s="88">
        <f t="shared" si="13"/>
        <v>7.6071428571428568</v>
      </c>
      <c r="Z35" s="89">
        <f t="shared" ref="Z35:Z44" si="26">Q35-M35</f>
        <v>-5.3475000000000001</v>
      </c>
      <c r="AA35" s="141">
        <f t="shared" ref="AA35:AA44" si="27">X35-M35</f>
        <v>8.571428571428541E-2</v>
      </c>
      <c r="AB35" s="89">
        <f t="shared" ref="AB35:AB96" si="28">Y35-M35</f>
        <v>1.6071428571428568</v>
      </c>
      <c r="AC35" s="90">
        <v>5</v>
      </c>
      <c r="AD35" s="91">
        <f>P35/30</f>
        <v>0.65249999999999997</v>
      </c>
      <c r="AE35" s="101" t="s">
        <v>38</v>
      </c>
      <c r="AF35" s="101" t="s">
        <v>38</v>
      </c>
      <c r="AG35" s="101" t="s">
        <v>38</v>
      </c>
      <c r="AH35" s="101" t="s">
        <v>38</v>
      </c>
      <c r="AI35" s="101" t="s">
        <v>38</v>
      </c>
      <c r="AJ35" s="93" t="s">
        <v>38</v>
      </c>
      <c r="AK35" s="93" t="s">
        <v>38</v>
      </c>
      <c r="AL35" s="93" t="s">
        <v>38</v>
      </c>
      <c r="AM35" s="93" t="s">
        <v>38</v>
      </c>
      <c r="AN35" s="93" t="s">
        <v>38</v>
      </c>
      <c r="AO35" s="142"/>
      <c r="AP35" s="143"/>
    </row>
    <row r="36" spans="1:42" ht="21.95" customHeight="1" x14ac:dyDescent="0.2">
      <c r="A36" s="343"/>
      <c r="B36" s="263" t="s">
        <v>280</v>
      </c>
      <c r="C36" s="75" t="s">
        <v>38</v>
      </c>
      <c r="D36" s="75" t="s">
        <v>38</v>
      </c>
      <c r="E36" s="75">
        <v>2</v>
      </c>
      <c r="F36" s="75" t="s">
        <v>38</v>
      </c>
      <c r="G36" s="76" t="s">
        <v>38</v>
      </c>
      <c r="H36" s="76" t="s">
        <v>38</v>
      </c>
      <c r="I36" s="76"/>
      <c r="J36" s="312">
        <v>9</v>
      </c>
      <c r="K36" s="78">
        <f t="shared" si="23"/>
        <v>11</v>
      </c>
      <c r="L36" s="144">
        <v>1</v>
      </c>
      <c r="M36" s="237">
        <f t="shared" si="17"/>
        <v>10</v>
      </c>
      <c r="N36" s="133">
        <v>292.08333333333331</v>
      </c>
      <c r="O36" s="98">
        <v>0</v>
      </c>
      <c r="P36" s="82">
        <f t="shared" si="24"/>
        <v>292.08333333333331</v>
      </c>
      <c r="Q36" s="134">
        <f>P36/25</f>
        <v>11.683333333333332</v>
      </c>
      <c r="R36" s="84">
        <f t="shared" si="18"/>
        <v>306.6875</v>
      </c>
      <c r="S36" s="135">
        <f>R36/25</f>
        <v>12.2675</v>
      </c>
      <c r="T36" s="103">
        <f>118+602</f>
        <v>720</v>
      </c>
      <c r="U36" s="136">
        <v>0</v>
      </c>
      <c r="V36" s="130">
        <f t="shared" si="25"/>
        <v>720</v>
      </c>
      <c r="W36" s="78">
        <f t="shared" si="12"/>
        <v>360</v>
      </c>
      <c r="X36" s="87">
        <f t="shared" si="20"/>
        <v>20.571428571428573</v>
      </c>
      <c r="Y36" s="88">
        <f t="shared" si="13"/>
        <v>25.714285714285715</v>
      </c>
      <c r="Z36" s="89">
        <f t="shared" si="26"/>
        <v>1.6833333333333318</v>
      </c>
      <c r="AA36" s="141">
        <f t="shared" si="27"/>
        <v>10.571428571428573</v>
      </c>
      <c r="AB36" s="89">
        <f t="shared" si="28"/>
        <v>15.714285714285715</v>
      </c>
      <c r="AC36" s="145">
        <v>5</v>
      </c>
      <c r="AD36" s="128" t="s">
        <v>38</v>
      </c>
      <c r="AE36" s="94" t="s">
        <v>38</v>
      </c>
      <c r="AF36" s="94">
        <v>1</v>
      </c>
      <c r="AG36" s="94">
        <v>1</v>
      </c>
      <c r="AH36" s="94" t="s">
        <v>38</v>
      </c>
      <c r="AI36" s="146">
        <v>3</v>
      </c>
      <c r="AJ36" s="147" t="s">
        <v>38</v>
      </c>
      <c r="AK36" s="147" t="s">
        <v>38</v>
      </c>
      <c r="AL36" s="147" t="s">
        <v>38</v>
      </c>
      <c r="AM36" s="147" t="s">
        <v>38</v>
      </c>
      <c r="AN36" s="147" t="s">
        <v>38</v>
      </c>
      <c r="AO36" s="94" t="s">
        <v>132</v>
      </c>
      <c r="AP36" s="63"/>
    </row>
    <row r="37" spans="1:42" ht="21.75" customHeight="1" x14ac:dyDescent="0.2">
      <c r="A37" s="343"/>
      <c r="B37" s="263" t="s">
        <v>41</v>
      </c>
      <c r="C37" s="75" t="s">
        <v>38</v>
      </c>
      <c r="D37" s="75" t="s">
        <v>38</v>
      </c>
      <c r="E37" s="75" t="s">
        <v>38</v>
      </c>
      <c r="F37" s="75" t="s">
        <v>38</v>
      </c>
      <c r="G37" s="76" t="s">
        <v>38</v>
      </c>
      <c r="H37" s="76" t="s">
        <v>38</v>
      </c>
      <c r="I37" s="76">
        <v>2</v>
      </c>
      <c r="J37" s="76">
        <v>8</v>
      </c>
      <c r="K37" s="78">
        <f t="shared" si="23"/>
        <v>10</v>
      </c>
      <c r="L37" s="144">
        <v>1</v>
      </c>
      <c r="M37" s="237">
        <f t="shared" si="17"/>
        <v>9</v>
      </c>
      <c r="N37" s="133">
        <v>255.36111111111111</v>
      </c>
      <c r="O37" s="98">
        <v>0</v>
      </c>
      <c r="P37" s="82">
        <f t="shared" si="24"/>
        <v>255.36111111111111</v>
      </c>
      <c r="Q37" s="134">
        <f>P37/25</f>
        <v>10.214444444444444</v>
      </c>
      <c r="R37" s="84">
        <f t="shared" si="18"/>
        <v>268.12916666666666</v>
      </c>
      <c r="S37" s="135">
        <f>R37/25</f>
        <v>10.725166666666667</v>
      </c>
      <c r="T37" s="103">
        <v>171</v>
      </c>
      <c r="U37" s="136">
        <v>0</v>
      </c>
      <c r="V37" s="130">
        <f t="shared" si="25"/>
        <v>171</v>
      </c>
      <c r="W37" s="78">
        <f t="shared" si="12"/>
        <v>85.5</v>
      </c>
      <c r="X37" s="87">
        <f t="shared" si="20"/>
        <v>4.8857142857142861</v>
      </c>
      <c r="Y37" s="88">
        <f t="shared" si="13"/>
        <v>6.1071428571428568</v>
      </c>
      <c r="Z37" s="89">
        <f t="shared" si="26"/>
        <v>1.2144444444444442</v>
      </c>
      <c r="AA37" s="141">
        <f t="shared" si="27"/>
        <v>-4.1142857142857139</v>
      </c>
      <c r="AB37" s="89">
        <f t="shared" si="28"/>
        <v>-2.8928571428571432</v>
      </c>
      <c r="AC37" s="145">
        <v>5</v>
      </c>
      <c r="AD37" s="128" t="s">
        <v>38</v>
      </c>
      <c r="AE37" s="94" t="s">
        <v>38</v>
      </c>
      <c r="AF37" s="94" t="s">
        <v>38</v>
      </c>
      <c r="AG37" s="94" t="s">
        <v>38</v>
      </c>
      <c r="AH37" s="94" t="s">
        <v>38</v>
      </c>
      <c r="AI37" s="94" t="s">
        <v>38</v>
      </c>
      <c r="AJ37" s="147" t="s">
        <v>38</v>
      </c>
      <c r="AK37" s="147" t="s">
        <v>38</v>
      </c>
      <c r="AL37" s="147" t="s">
        <v>38</v>
      </c>
      <c r="AM37" s="147" t="s">
        <v>38</v>
      </c>
      <c r="AN37" s="147" t="s">
        <v>38</v>
      </c>
      <c r="AO37" s="94" t="s">
        <v>134</v>
      </c>
      <c r="AP37" s="63"/>
    </row>
    <row r="38" spans="1:42" ht="21.75" customHeight="1" x14ac:dyDescent="0.2">
      <c r="A38" s="343"/>
      <c r="B38" s="263" t="s">
        <v>20</v>
      </c>
      <c r="C38" s="75" t="s">
        <v>38</v>
      </c>
      <c r="D38" s="75" t="s">
        <v>38</v>
      </c>
      <c r="E38" s="75">
        <v>2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78">
        <f t="shared" si="23"/>
        <v>3</v>
      </c>
      <c r="L38" s="144">
        <v>0</v>
      </c>
      <c r="M38" s="237">
        <f t="shared" si="17"/>
        <v>3</v>
      </c>
      <c r="N38" s="81">
        <v>10.875</v>
      </c>
      <c r="O38" s="98">
        <v>0</v>
      </c>
      <c r="P38" s="82">
        <f t="shared" si="24"/>
        <v>10.875</v>
      </c>
      <c r="Q38" s="134">
        <f>P38/30</f>
        <v>0.36249999999999999</v>
      </c>
      <c r="R38" s="84">
        <f t="shared" si="18"/>
        <v>11.418749999999999</v>
      </c>
      <c r="S38" s="135">
        <f>R38/30</f>
        <v>0.38062499999999999</v>
      </c>
      <c r="T38" s="103">
        <v>62</v>
      </c>
      <c r="U38" s="136">
        <v>0</v>
      </c>
      <c r="V38" s="130">
        <f t="shared" si="25"/>
        <v>62</v>
      </c>
      <c r="W38" s="78">
        <f t="shared" si="12"/>
        <v>31</v>
      </c>
      <c r="X38" s="87">
        <f t="shared" si="20"/>
        <v>1.7714285714285714</v>
      </c>
      <c r="Y38" s="88">
        <f t="shared" si="13"/>
        <v>2.2142857142857144</v>
      </c>
      <c r="Z38" s="89">
        <f t="shared" si="26"/>
        <v>-2.6375000000000002</v>
      </c>
      <c r="AA38" s="141">
        <f t="shared" si="27"/>
        <v>-1.2285714285714286</v>
      </c>
      <c r="AB38" s="89">
        <f t="shared" si="28"/>
        <v>-0.78571428571428559</v>
      </c>
      <c r="AC38" s="145">
        <v>3</v>
      </c>
      <c r="AD38" s="128" t="s">
        <v>38</v>
      </c>
      <c r="AE38" s="94" t="s">
        <v>38</v>
      </c>
      <c r="AF38" s="94" t="s">
        <v>38</v>
      </c>
      <c r="AG38" s="94" t="s">
        <v>38</v>
      </c>
      <c r="AH38" s="94" t="s">
        <v>38</v>
      </c>
      <c r="AI38" s="94" t="s">
        <v>38</v>
      </c>
      <c r="AJ38" s="147" t="s">
        <v>38</v>
      </c>
      <c r="AK38" s="147" t="s">
        <v>38</v>
      </c>
      <c r="AL38" s="147" t="s">
        <v>38</v>
      </c>
      <c r="AM38" s="147" t="s">
        <v>38</v>
      </c>
      <c r="AN38" s="147" t="s">
        <v>38</v>
      </c>
      <c r="AO38" s="146"/>
      <c r="AP38" s="63"/>
    </row>
    <row r="39" spans="1:42" ht="21.75" customHeight="1" x14ac:dyDescent="0.2">
      <c r="A39" s="343" t="s">
        <v>67</v>
      </c>
      <c r="B39" s="263" t="s">
        <v>110</v>
      </c>
      <c r="C39" s="75" t="s">
        <v>26</v>
      </c>
      <c r="D39" s="75">
        <v>1</v>
      </c>
      <c r="E39" s="75">
        <v>1</v>
      </c>
      <c r="F39" s="75" t="s">
        <v>38</v>
      </c>
      <c r="G39" s="76" t="s">
        <v>38</v>
      </c>
      <c r="H39" s="76" t="s">
        <v>38</v>
      </c>
      <c r="I39" s="76">
        <v>1</v>
      </c>
      <c r="J39" s="76" t="s">
        <v>38</v>
      </c>
      <c r="K39" s="78">
        <f t="shared" si="23"/>
        <v>3</v>
      </c>
      <c r="L39" s="131">
        <v>0</v>
      </c>
      <c r="M39" s="238">
        <f t="shared" si="17"/>
        <v>3</v>
      </c>
      <c r="N39" s="81">
        <v>0</v>
      </c>
      <c r="O39" s="81">
        <f>7.5*1.8</f>
        <v>13.5</v>
      </c>
      <c r="P39" s="82">
        <f t="shared" si="24"/>
        <v>13.5</v>
      </c>
      <c r="Q39" s="134">
        <f>P39/25</f>
        <v>0.54</v>
      </c>
      <c r="R39" s="84">
        <f t="shared" si="18"/>
        <v>14.175000000000001</v>
      </c>
      <c r="S39" s="135">
        <f>R39/25</f>
        <v>0.56700000000000006</v>
      </c>
      <c r="T39" s="96">
        <v>0</v>
      </c>
      <c r="U39" s="86">
        <v>52</v>
      </c>
      <c r="V39" s="136">
        <f>SUM(U39:U39)</f>
        <v>52</v>
      </c>
      <c r="W39" s="78">
        <f t="shared" si="12"/>
        <v>26</v>
      </c>
      <c r="X39" s="87">
        <f t="shared" si="20"/>
        <v>1.4857142857142858</v>
      </c>
      <c r="Y39" s="88">
        <f t="shared" si="13"/>
        <v>1.8571428571428572</v>
      </c>
      <c r="Z39" s="89">
        <f t="shared" si="26"/>
        <v>-2.46</v>
      </c>
      <c r="AA39" s="141">
        <f t="shared" si="27"/>
        <v>-1.5142857142857142</v>
      </c>
      <c r="AB39" s="89">
        <f t="shared" si="28"/>
        <v>-1.1428571428571428</v>
      </c>
      <c r="AC39" s="145">
        <v>3</v>
      </c>
      <c r="AD39" s="128" t="s">
        <v>38</v>
      </c>
      <c r="AE39" s="94" t="s">
        <v>38</v>
      </c>
      <c r="AF39" s="94" t="s">
        <v>38</v>
      </c>
      <c r="AG39" s="94" t="s">
        <v>38</v>
      </c>
      <c r="AH39" s="94" t="s">
        <v>38</v>
      </c>
      <c r="AI39" s="94" t="s">
        <v>38</v>
      </c>
      <c r="AJ39" s="147" t="s">
        <v>38</v>
      </c>
      <c r="AK39" s="147" t="s">
        <v>38</v>
      </c>
      <c r="AL39" s="147" t="s">
        <v>38</v>
      </c>
      <c r="AM39" s="147" t="s">
        <v>38</v>
      </c>
      <c r="AN39" s="147" t="s">
        <v>38</v>
      </c>
      <c r="AO39" s="146"/>
      <c r="AP39" s="63"/>
    </row>
    <row r="40" spans="1:42" ht="21.75" customHeight="1" x14ac:dyDescent="0.2">
      <c r="A40" s="343"/>
      <c r="B40" s="263" t="s">
        <v>111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 t="s">
        <v>38</v>
      </c>
      <c r="K40" s="78">
        <f t="shared" si="23"/>
        <v>3</v>
      </c>
      <c r="L40" s="131">
        <v>0</v>
      </c>
      <c r="M40" s="238">
        <f t="shared" si="17"/>
        <v>3</v>
      </c>
      <c r="N40" s="98">
        <v>0</v>
      </c>
      <c r="O40" s="81">
        <f>19.1666666666667*1.8</f>
        <v>34.500000000000064</v>
      </c>
      <c r="P40" s="82">
        <f t="shared" si="24"/>
        <v>34.500000000000064</v>
      </c>
      <c r="Q40" s="134">
        <f>P40/25</f>
        <v>1.3800000000000026</v>
      </c>
      <c r="R40" s="84">
        <f t="shared" si="18"/>
        <v>36.225000000000065</v>
      </c>
      <c r="S40" s="135">
        <f>R40/25</f>
        <v>1.4490000000000025</v>
      </c>
      <c r="T40" s="96">
        <v>0</v>
      </c>
      <c r="U40" s="86">
        <v>52</v>
      </c>
      <c r="V40" s="136">
        <f>SUM(U40:U40)</f>
        <v>52</v>
      </c>
      <c r="W40" s="78">
        <f t="shared" si="12"/>
        <v>26</v>
      </c>
      <c r="X40" s="87">
        <f t="shared" si="20"/>
        <v>1.4857142857142858</v>
      </c>
      <c r="Y40" s="88">
        <f t="shared" si="13"/>
        <v>1.8571428571428572</v>
      </c>
      <c r="Z40" s="89">
        <f t="shared" si="26"/>
        <v>-1.6199999999999974</v>
      </c>
      <c r="AA40" s="141">
        <f t="shared" si="27"/>
        <v>-1.5142857142857142</v>
      </c>
      <c r="AB40" s="89">
        <f t="shared" si="28"/>
        <v>-1.1428571428571428</v>
      </c>
      <c r="AC40" s="145">
        <v>3</v>
      </c>
      <c r="AD40" s="128" t="s">
        <v>38</v>
      </c>
      <c r="AE40" s="94" t="s">
        <v>38</v>
      </c>
      <c r="AF40" s="94" t="s">
        <v>38</v>
      </c>
      <c r="AG40" s="94" t="s">
        <v>38</v>
      </c>
      <c r="AH40" s="94" t="s">
        <v>38</v>
      </c>
      <c r="AI40" s="94" t="s">
        <v>38</v>
      </c>
      <c r="AJ40" s="147" t="s">
        <v>38</v>
      </c>
      <c r="AK40" s="147" t="s">
        <v>38</v>
      </c>
      <c r="AL40" s="147" t="s">
        <v>38</v>
      </c>
      <c r="AM40" s="147" t="s">
        <v>38</v>
      </c>
      <c r="AN40" s="147" t="s">
        <v>38</v>
      </c>
      <c r="AO40" s="146"/>
      <c r="AP40" s="63"/>
    </row>
    <row r="41" spans="1:42" ht="21.75" customHeight="1" x14ac:dyDescent="0.2">
      <c r="A41" s="343"/>
      <c r="B41" s="263" t="s">
        <v>25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2</v>
      </c>
      <c r="J41" s="76">
        <v>3</v>
      </c>
      <c r="K41" s="78">
        <f t="shared" si="23"/>
        <v>6</v>
      </c>
      <c r="L41" s="131">
        <v>0</v>
      </c>
      <c r="M41" s="238">
        <f t="shared" si="17"/>
        <v>6</v>
      </c>
      <c r="N41" s="133">
        <v>627.69444444444446</v>
      </c>
      <c r="O41" s="98">
        <v>0</v>
      </c>
      <c r="P41" s="82">
        <f t="shared" si="24"/>
        <v>627.69444444444446</v>
      </c>
      <c r="Q41" s="134">
        <f>P41/25</f>
        <v>25.107777777777777</v>
      </c>
      <c r="R41" s="84">
        <f t="shared" si="18"/>
        <v>659.07916666666665</v>
      </c>
      <c r="S41" s="135">
        <f>R41/25</f>
        <v>26.363166666666665</v>
      </c>
      <c r="T41" s="103">
        <v>317</v>
      </c>
      <c r="U41" s="136">
        <v>0</v>
      </c>
      <c r="V41" s="136">
        <f t="shared" ref="V41:V47" si="29">SUM(T41:U41)</f>
        <v>317</v>
      </c>
      <c r="W41" s="78">
        <f t="shared" si="12"/>
        <v>158.5</v>
      </c>
      <c r="X41" s="87">
        <f t="shared" si="20"/>
        <v>9.0571428571428569</v>
      </c>
      <c r="Y41" s="88">
        <f t="shared" si="13"/>
        <v>11.321428571428571</v>
      </c>
      <c r="Z41" s="89">
        <f t="shared" si="26"/>
        <v>19.107777777777777</v>
      </c>
      <c r="AA41" s="141">
        <f t="shared" si="27"/>
        <v>3.0571428571428569</v>
      </c>
      <c r="AB41" s="89">
        <f t="shared" si="28"/>
        <v>5.3214285714285712</v>
      </c>
      <c r="AC41" s="145">
        <v>5</v>
      </c>
      <c r="AD41" s="128" t="s">
        <v>38</v>
      </c>
      <c r="AE41" s="94">
        <v>2</v>
      </c>
      <c r="AF41" s="94" t="s">
        <v>38</v>
      </c>
      <c r="AG41" s="94" t="s">
        <v>38</v>
      </c>
      <c r="AH41" s="94" t="s">
        <v>38</v>
      </c>
      <c r="AI41" s="94" t="s">
        <v>38</v>
      </c>
      <c r="AJ41" s="147" t="s">
        <v>38</v>
      </c>
      <c r="AK41" s="147">
        <v>2</v>
      </c>
      <c r="AL41" s="147" t="s">
        <v>38</v>
      </c>
      <c r="AM41" s="147" t="s">
        <v>38</v>
      </c>
      <c r="AN41" s="147" t="s">
        <v>38</v>
      </c>
      <c r="AO41" s="146" t="s">
        <v>135</v>
      </c>
      <c r="AP41" s="63"/>
    </row>
    <row r="42" spans="1:42" ht="21.75" customHeight="1" x14ac:dyDescent="0.2">
      <c r="A42" s="127" t="s">
        <v>68</v>
      </c>
      <c r="B42" s="263" t="s">
        <v>21</v>
      </c>
      <c r="C42" s="75" t="s">
        <v>38</v>
      </c>
      <c r="D42" s="75" t="s">
        <v>38</v>
      </c>
      <c r="E42" s="75">
        <v>1</v>
      </c>
      <c r="F42" s="75" t="s">
        <v>38</v>
      </c>
      <c r="G42" s="76" t="s">
        <v>38</v>
      </c>
      <c r="H42" s="76" t="s">
        <v>38</v>
      </c>
      <c r="I42" s="76">
        <v>3</v>
      </c>
      <c r="J42" s="77">
        <v>4</v>
      </c>
      <c r="K42" s="78">
        <f t="shared" si="23"/>
        <v>8</v>
      </c>
      <c r="L42" s="131">
        <v>0</v>
      </c>
      <c r="M42" s="238">
        <f t="shared" si="17"/>
        <v>8</v>
      </c>
      <c r="N42" s="81">
        <v>153.77777777777777</v>
      </c>
      <c r="O42" s="81">
        <v>0</v>
      </c>
      <c r="P42" s="82">
        <f t="shared" si="24"/>
        <v>153.77777777777777</v>
      </c>
      <c r="Q42" s="83">
        <f>P42/30</f>
        <v>5.1259259259259258</v>
      </c>
      <c r="R42" s="84">
        <f t="shared" si="18"/>
        <v>161.46666666666667</v>
      </c>
      <c r="S42" s="83">
        <f>R42/30</f>
        <v>5.3822222222222225</v>
      </c>
      <c r="T42" s="103">
        <f>220+389</f>
        <v>609</v>
      </c>
      <c r="U42" s="85">
        <v>0</v>
      </c>
      <c r="V42" s="136">
        <f t="shared" si="29"/>
        <v>609</v>
      </c>
      <c r="W42" s="78">
        <f t="shared" si="12"/>
        <v>304.5</v>
      </c>
      <c r="X42" s="87">
        <f t="shared" si="20"/>
        <v>17.399999999999999</v>
      </c>
      <c r="Y42" s="88">
        <f t="shared" si="13"/>
        <v>21.75</v>
      </c>
      <c r="Z42" s="89">
        <f t="shared" si="26"/>
        <v>-2.8740740740740742</v>
      </c>
      <c r="AA42" s="141">
        <f t="shared" si="27"/>
        <v>9.3999999999999986</v>
      </c>
      <c r="AB42" s="89">
        <f t="shared" si="28"/>
        <v>13.75</v>
      </c>
      <c r="AC42" s="145">
        <v>5</v>
      </c>
      <c r="AD42" s="91">
        <f>P42/30</f>
        <v>5.1259259259259258</v>
      </c>
      <c r="AE42" s="94">
        <v>1</v>
      </c>
      <c r="AF42" s="94" t="s">
        <v>38</v>
      </c>
      <c r="AG42" s="94" t="s">
        <v>38</v>
      </c>
      <c r="AH42" s="94" t="s">
        <v>38</v>
      </c>
      <c r="AI42" s="94" t="s">
        <v>38</v>
      </c>
      <c r="AJ42" s="147" t="s">
        <v>38</v>
      </c>
      <c r="AK42" s="147" t="s">
        <v>38</v>
      </c>
      <c r="AL42" s="147" t="s">
        <v>38</v>
      </c>
      <c r="AM42" s="147" t="s">
        <v>38</v>
      </c>
      <c r="AN42" s="147" t="s">
        <v>38</v>
      </c>
      <c r="AO42" s="94" t="s">
        <v>132</v>
      </c>
      <c r="AP42" s="63"/>
    </row>
    <row r="43" spans="1:42" ht="21.75" customHeight="1" x14ac:dyDescent="0.2">
      <c r="A43" s="127" t="s">
        <v>69</v>
      </c>
      <c r="B43" s="263" t="s">
        <v>22</v>
      </c>
      <c r="C43" s="75" t="s">
        <v>38</v>
      </c>
      <c r="D43" s="75" t="s">
        <v>38</v>
      </c>
      <c r="E43" s="75" t="s">
        <v>38</v>
      </c>
      <c r="F43" s="75">
        <v>1</v>
      </c>
      <c r="G43" s="76" t="s">
        <v>38</v>
      </c>
      <c r="H43" s="76" t="s">
        <v>38</v>
      </c>
      <c r="I43" s="76">
        <v>2</v>
      </c>
      <c r="J43" s="77">
        <v>2</v>
      </c>
      <c r="K43" s="78">
        <f t="shared" si="23"/>
        <v>5</v>
      </c>
      <c r="L43" s="79">
        <v>0</v>
      </c>
      <c r="M43" s="218">
        <f t="shared" si="17"/>
        <v>5</v>
      </c>
      <c r="N43" s="81">
        <v>75.611111111111114</v>
      </c>
      <c r="O43" s="81">
        <v>0</v>
      </c>
      <c r="P43" s="82">
        <f t="shared" si="24"/>
        <v>75.611111111111114</v>
      </c>
      <c r="Q43" s="83">
        <f>P43/8</f>
        <v>9.4513888888888893</v>
      </c>
      <c r="R43" s="84">
        <f t="shared" si="18"/>
        <v>79.391666666666666</v>
      </c>
      <c r="S43" s="83">
        <f>R43/8</f>
        <v>9.9239583333333332</v>
      </c>
      <c r="T43" s="103">
        <v>211</v>
      </c>
      <c r="U43" s="85">
        <v>0</v>
      </c>
      <c r="V43" s="136">
        <f t="shared" si="29"/>
        <v>211</v>
      </c>
      <c r="W43" s="78">
        <f t="shared" si="12"/>
        <v>105.5</v>
      </c>
      <c r="X43" s="87">
        <f t="shared" si="20"/>
        <v>6.0285714285714285</v>
      </c>
      <c r="Y43" s="88">
        <f t="shared" si="13"/>
        <v>7.5357142857142856</v>
      </c>
      <c r="Z43" s="89">
        <f t="shared" si="26"/>
        <v>4.4513888888888893</v>
      </c>
      <c r="AA43" s="141">
        <f t="shared" si="27"/>
        <v>1.0285714285714285</v>
      </c>
      <c r="AB43" s="89">
        <f t="shared" si="28"/>
        <v>2.5357142857142856</v>
      </c>
      <c r="AC43" s="145">
        <v>5</v>
      </c>
      <c r="AD43" s="128" t="s">
        <v>38</v>
      </c>
      <c r="AE43" s="94" t="s">
        <v>38</v>
      </c>
      <c r="AF43" s="94" t="s">
        <v>38</v>
      </c>
      <c r="AG43" s="94" t="s">
        <v>38</v>
      </c>
      <c r="AH43" s="94" t="s">
        <v>38</v>
      </c>
      <c r="AI43" s="94" t="s">
        <v>38</v>
      </c>
      <c r="AJ43" s="147" t="s">
        <v>38</v>
      </c>
      <c r="AK43" s="147" t="s">
        <v>38</v>
      </c>
      <c r="AL43" s="147" t="s">
        <v>38</v>
      </c>
      <c r="AM43" s="147" t="s">
        <v>38</v>
      </c>
      <c r="AN43" s="147" t="s">
        <v>38</v>
      </c>
      <c r="AO43" s="146" t="s">
        <v>136</v>
      </c>
      <c r="AP43" s="63"/>
    </row>
    <row r="44" spans="1:42" ht="21.75" customHeight="1" x14ac:dyDescent="0.2">
      <c r="A44" s="127" t="s">
        <v>70</v>
      </c>
      <c r="B44" s="263" t="s">
        <v>353</v>
      </c>
      <c r="C44" s="75" t="s">
        <v>38</v>
      </c>
      <c r="D44" s="75" t="s">
        <v>38</v>
      </c>
      <c r="E44" s="75">
        <v>0</v>
      </c>
      <c r="F44" s="75" t="s">
        <v>38</v>
      </c>
      <c r="G44" s="76" t="s">
        <v>38</v>
      </c>
      <c r="H44" s="76" t="s">
        <v>38</v>
      </c>
      <c r="I44" s="76">
        <v>1</v>
      </c>
      <c r="J44" s="313">
        <v>2</v>
      </c>
      <c r="K44" s="78">
        <f t="shared" si="23"/>
        <v>3</v>
      </c>
      <c r="L44" s="79">
        <v>0</v>
      </c>
      <c r="M44" s="218">
        <f t="shared" si="17"/>
        <v>3</v>
      </c>
      <c r="N44" s="81">
        <v>125.66666666666666</v>
      </c>
      <c r="O44" s="81">
        <v>0</v>
      </c>
      <c r="P44" s="82">
        <f t="shared" si="24"/>
        <v>125.66666666666666</v>
      </c>
      <c r="Q44" s="83">
        <f>P44/25</f>
        <v>5.0266666666666664</v>
      </c>
      <c r="R44" s="84">
        <f t="shared" si="18"/>
        <v>131.94999999999999</v>
      </c>
      <c r="S44" s="83">
        <f>R44/25</f>
        <v>5.2779999999999996</v>
      </c>
      <c r="T44" s="103">
        <v>108</v>
      </c>
      <c r="U44" s="85">
        <v>0</v>
      </c>
      <c r="V44" s="136">
        <f t="shared" si="29"/>
        <v>108</v>
      </c>
      <c r="W44" s="78">
        <f t="shared" si="12"/>
        <v>54</v>
      </c>
      <c r="X44" s="87">
        <f t="shared" si="20"/>
        <v>3.0857142857142859</v>
      </c>
      <c r="Y44" s="88">
        <f t="shared" si="13"/>
        <v>3.8571428571428572</v>
      </c>
      <c r="Z44" s="89">
        <f t="shared" si="26"/>
        <v>2.0266666666666664</v>
      </c>
      <c r="AA44" s="141">
        <f t="shared" si="27"/>
        <v>8.5714285714285854E-2</v>
      </c>
      <c r="AB44" s="89">
        <f t="shared" si="28"/>
        <v>0.85714285714285721</v>
      </c>
      <c r="AC44" s="145">
        <v>5</v>
      </c>
      <c r="AD44" s="128" t="s">
        <v>38</v>
      </c>
      <c r="AE44" s="94" t="s">
        <v>38</v>
      </c>
      <c r="AF44" s="94">
        <v>1</v>
      </c>
      <c r="AG44" s="94" t="s">
        <v>38</v>
      </c>
      <c r="AH44" s="94" t="s">
        <v>38</v>
      </c>
      <c r="AI44" s="94" t="s">
        <v>38</v>
      </c>
      <c r="AJ44" s="147" t="s">
        <v>38</v>
      </c>
      <c r="AK44" s="147" t="s">
        <v>38</v>
      </c>
      <c r="AL44" s="147" t="s">
        <v>38</v>
      </c>
      <c r="AM44" s="147" t="s">
        <v>38</v>
      </c>
      <c r="AN44" s="147" t="s">
        <v>38</v>
      </c>
      <c r="AO44" s="146"/>
      <c r="AP44" s="63"/>
    </row>
    <row r="45" spans="1:42" ht="21.75" customHeight="1" x14ac:dyDescent="0.2">
      <c r="A45" s="127" t="s">
        <v>199</v>
      </c>
      <c r="B45" s="263" t="s">
        <v>198</v>
      </c>
      <c r="C45" s="75" t="s">
        <v>38</v>
      </c>
      <c r="D45" s="75" t="s">
        <v>38</v>
      </c>
      <c r="E45" s="75" t="s">
        <v>38</v>
      </c>
      <c r="F45" s="75">
        <v>1</v>
      </c>
      <c r="G45" s="76" t="s">
        <v>38</v>
      </c>
      <c r="H45" s="76" t="s">
        <v>38</v>
      </c>
      <c r="I45" s="76">
        <v>1</v>
      </c>
      <c r="J45" s="76">
        <v>2</v>
      </c>
      <c r="K45" s="78">
        <f t="shared" si="23"/>
        <v>4</v>
      </c>
      <c r="L45" s="131">
        <v>0</v>
      </c>
      <c r="M45" s="238">
        <f>K45-L45</f>
        <v>4</v>
      </c>
      <c r="N45" s="133">
        <v>93.944444444444443</v>
      </c>
      <c r="O45" s="98">
        <v>0</v>
      </c>
      <c r="P45" s="82">
        <f>SUM(N45:O45)</f>
        <v>93.944444444444443</v>
      </c>
      <c r="Q45" s="134">
        <f>P45/25</f>
        <v>3.7577777777777777</v>
      </c>
      <c r="R45" s="84">
        <f>(P45*0.05)+P45</f>
        <v>98.641666666666666</v>
      </c>
      <c r="S45" s="135">
        <f>R45/25</f>
        <v>3.9456666666666664</v>
      </c>
      <c r="T45" s="136">
        <f>75+24</f>
        <v>99</v>
      </c>
      <c r="U45" s="136">
        <v>0</v>
      </c>
      <c r="V45" s="136">
        <f>SUM(T45:U45)</f>
        <v>99</v>
      </c>
      <c r="W45" s="78">
        <f>V45/2</f>
        <v>49.5</v>
      </c>
      <c r="X45" s="87">
        <f>V45/35</f>
        <v>2.8285714285714287</v>
      </c>
      <c r="Y45" s="88">
        <f>W45/14</f>
        <v>3.5357142857142856</v>
      </c>
      <c r="Z45" s="89">
        <f>Q45-M45</f>
        <v>-0.24222222222222234</v>
      </c>
      <c r="AA45" s="141">
        <f>X45-M45</f>
        <v>-1.1714285714285713</v>
      </c>
      <c r="AB45" s="89">
        <f>Y45-M45</f>
        <v>-0.46428571428571441</v>
      </c>
      <c r="AC45" s="145">
        <v>5</v>
      </c>
      <c r="AD45" s="128" t="s">
        <v>38</v>
      </c>
      <c r="AE45" s="94" t="s">
        <v>38</v>
      </c>
      <c r="AF45" s="94" t="s">
        <v>38</v>
      </c>
      <c r="AG45" s="94" t="s">
        <v>38</v>
      </c>
      <c r="AH45" s="94" t="s">
        <v>38</v>
      </c>
      <c r="AI45" s="94" t="s">
        <v>38</v>
      </c>
      <c r="AJ45" s="147" t="s">
        <v>38</v>
      </c>
      <c r="AK45" s="147" t="s">
        <v>38</v>
      </c>
      <c r="AL45" s="147" t="s">
        <v>38</v>
      </c>
      <c r="AM45" s="147" t="s">
        <v>38</v>
      </c>
      <c r="AN45" s="147" t="s">
        <v>38</v>
      </c>
      <c r="AO45" s="146"/>
      <c r="AP45" s="63"/>
    </row>
    <row r="46" spans="1:42" s="18" customFormat="1" ht="21.75" customHeight="1" x14ac:dyDescent="0.2">
      <c r="A46" s="148" t="s">
        <v>71</v>
      </c>
      <c r="B46" s="265"/>
      <c r="C46" s="149">
        <f t="shared" ref="C46:Q46" si="30">SUM(C47:C72)</f>
        <v>0</v>
      </c>
      <c r="D46" s="149">
        <f t="shared" si="30"/>
        <v>4</v>
      </c>
      <c r="E46" s="149">
        <f t="shared" si="30"/>
        <v>23</v>
      </c>
      <c r="F46" s="149">
        <f t="shared" si="30"/>
        <v>13</v>
      </c>
      <c r="G46" s="149">
        <f t="shared" si="30"/>
        <v>0</v>
      </c>
      <c r="H46" s="149">
        <f t="shared" si="30"/>
        <v>1</v>
      </c>
      <c r="I46" s="149">
        <f t="shared" si="30"/>
        <v>43</v>
      </c>
      <c r="J46" s="149">
        <f t="shared" si="30"/>
        <v>61</v>
      </c>
      <c r="K46" s="150">
        <f t="shared" si="30"/>
        <v>145</v>
      </c>
      <c r="L46" s="150">
        <f t="shared" si="30"/>
        <v>6</v>
      </c>
      <c r="M46" s="150">
        <f t="shared" si="30"/>
        <v>139</v>
      </c>
      <c r="N46" s="251">
        <f t="shared" si="30"/>
        <v>2282.0855555555554</v>
      </c>
      <c r="O46" s="251">
        <f t="shared" si="30"/>
        <v>45.624999999999993</v>
      </c>
      <c r="P46" s="251">
        <f t="shared" si="30"/>
        <v>2327.7105555555554</v>
      </c>
      <c r="Q46" s="66">
        <f t="shared" si="30"/>
        <v>100.50313888888893</v>
      </c>
      <c r="R46" s="152">
        <f t="shared" si="18"/>
        <v>2444.0960833333334</v>
      </c>
      <c r="S46" s="66">
        <f>SUM(S47:S72)</f>
        <v>107.99334583333335</v>
      </c>
      <c r="T46" s="251">
        <f>SUM(T47:T72)</f>
        <v>3793</v>
      </c>
      <c r="U46" s="254">
        <v>0</v>
      </c>
      <c r="V46" s="253">
        <f t="shared" si="29"/>
        <v>3793</v>
      </c>
      <c r="W46" s="251">
        <f t="shared" si="12"/>
        <v>1896.5</v>
      </c>
      <c r="X46" s="155">
        <f t="shared" si="20"/>
        <v>108.37142857142857</v>
      </c>
      <c r="Y46" s="155">
        <f t="shared" si="13"/>
        <v>135.46428571428572</v>
      </c>
      <c r="Z46" s="69">
        <f>SUM(Z47:Z72)</f>
        <v>-33.496861111111109</v>
      </c>
      <c r="AA46" s="69">
        <f>SUM(AA47:AA72)</f>
        <v>-20.857142857142854</v>
      </c>
      <c r="AB46" s="69">
        <f t="shared" si="28"/>
        <v>-3.5357142857142776</v>
      </c>
      <c r="AC46" s="66">
        <f>SUM(AC47:AC72)</f>
        <v>120</v>
      </c>
      <c r="AD46" s="65">
        <v>0</v>
      </c>
      <c r="AE46" s="150">
        <f t="shared" ref="AE46:AN46" si="31">SUM(AE47:AE72)</f>
        <v>1</v>
      </c>
      <c r="AF46" s="150">
        <f t="shared" si="31"/>
        <v>3</v>
      </c>
      <c r="AG46" s="150">
        <f t="shared" si="31"/>
        <v>2</v>
      </c>
      <c r="AH46" s="150">
        <f t="shared" si="31"/>
        <v>5</v>
      </c>
      <c r="AI46" s="150">
        <f t="shared" si="31"/>
        <v>0</v>
      </c>
      <c r="AJ46" s="65">
        <f t="shared" si="31"/>
        <v>0</v>
      </c>
      <c r="AK46" s="65">
        <f t="shared" si="31"/>
        <v>0</v>
      </c>
      <c r="AL46" s="65">
        <f t="shared" si="31"/>
        <v>0</v>
      </c>
      <c r="AM46" s="65">
        <f t="shared" si="31"/>
        <v>0</v>
      </c>
      <c r="AN46" s="65">
        <f t="shared" si="31"/>
        <v>0</v>
      </c>
      <c r="AO46" s="156"/>
      <c r="AP46" s="72"/>
    </row>
    <row r="47" spans="1:42" ht="21.75" customHeight="1" x14ac:dyDescent="0.2">
      <c r="A47" s="310" t="s">
        <v>72</v>
      </c>
      <c r="B47" s="263" t="s">
        <v>359</v>
      </c>
      <c r="C47" s="158" t="s">
        <v>38</v>
      </c>
      <c r="D47" s="158" t="s">
        <v>38</v>
      </c>
      <c r="E47" s="158">
        <v>1</v>
      </c>
      <c r="F47" s="158">
        <v>2</v>
      </c>
      <c r="G47" s="76" t="s">
        <v>38</v>
      </c>
      <c r="H47" s="76" t="s">
        <v>38</v>
      </c>
      <c r="I47" s="76">
        <v>1</v>
      </c>
      <c r="J47" s="313">
        <v>3</v>
      </c>
      <c r="K47" s="299">
        <f>SUM(C47:J47)</f>
        <v>7</v>
      </c>
      <c r="L47" s="79">
        <v>0</v>
      </c>
      <c r="M47" s="124">
        <f t="shared" ref="M47:M72" si="32">K47-L47</f>
        <v>7</v>
      </c>
      <c r="N47" s="81">
        <v>102.13888888888889</v>
      </c>
      <c r="O47" s="81">
        <v>0</v>
      </c>
      <c r="P47" s="82">
        <f>SUM(N47:O47)</f>
        <v>102.13888888888889</v>
      </c>
      <c r="Q47" s="83">
        <f>P47/20</f>
        <v>5.1069444444444443</v>
      </c>
      <c r="R47" s="84">
        <f t="shared" si="18"/>
        <v>107.24583333333334</v>
      </c>
      <c r="S47" s="83">
        <f>R47/20</f>
        <v>5.3622916666666667</v>
      </c>
      <c r="T47" s="103">
        <v>203</v>
      </c>
      <c r="U47" s="85">
        <v>0</v>
      </c>
      <c r="V47" s="136">
        <f t="shared" si="29"/>
        <v>203</v>
      </c>
      <c r="W47" s="78">
        <f t="shared" si="12"/>
        <v>101.5</v>
      </c>
      <c r="X47" s="87">
        <f t="shared" si="20"/>
        <v>5.8</v>
      </c>
      <c r="Y47" s="88">
        <f t="shared" si="13"/>
        <v>7.25</v>
      </c>
      <c r="Z47" s="89">
        <f t="shared" ref="Z47:Z72" si="33">Q47-M47</f>
        <v>-1.8930555555555557</v>
      </c>
      <c r="AA47" s="89">
        <f t="shared" ref="AA47:AA72" si="34">X47-M47</f>
        <v>-1.2000000000000002</v>
      </c>
      <c r="AB47" s="89">
        <f t="shared" si="28"/>
        <v>0.25</v>
      </c>
      <c r="AC47" s="159">
        <v>5</v>
      </c>
      <c r="AD47" s="160" t="s">
        <v>38</v>
      </c>
      <c r="AE47" s="94" t="s">
        <v>38</v>
      </c>
      <c r="AF47" s="94">
        <v>1</v>
      </c>
      <c r="AG47" s="94" t="s">
        <v>38</v>
      </c>
      <c r="AH47" s="146">
        <v>1</v>
      </c>
      <c r="AI47" s="94" t="s">
        <v>38</v>
      </c>
      <c r="AJ47" s="147" t="s">
        <v>38</v>
      </c>
      <c r="AK47" s="147" t="s">
        <v>38</v>
      </c>
      <c r="AL47" s="147" t="s">
        <v>38</v>
      </c>
      <c r="AM47" s="147" t="s">
        <v>38</v>
      </c>
      <c r="AN47" s="147" t="s">
        <v>38</v>
      </c>
      <c r="AO47" s="146" t="s">
        <v>137</v>
      </c>
      <c r="AP47" s="63"/>
    </row>
    <row r="48" spans="1:42" ht="21.75" customHeight="1" x14ac:dyDescent="0.2">
      <c r="A48" s="342" t="s">
        <v>73</v>
      </c>
      <c r="B48" s="263" t="s">
        <v>112</v>
      </c>
      <c r="C48" s="158" t="s">
        <v>38</v>
      </c>
      <c r="D48" s="158" t="s">
        <v>38</v>
      </c>
      <c r="E48" s="158">
        <v>1</v>
      </c>
      <c r="F48" s="158" t="s">
        <v>38</v>
      </c>
      <c r="G48" s="76" t="s">
        <v>38</v>
      </c>
      <c r="H48" s="76" t="s">
        <v>38</v>
      </c>
      <c r="I48" s="76">
        <v>2</v>
      </c>
      <c r="J48" s="77" t="s">
        <v>38</v>
      </c>
      <c r="K48" s="299">
        <f t="shared" ref="K48:K99" si="35">SUM(C48:J48)</f>
        <v>3</v>
      </c>
      <c r="L48" s="79">
        <v>0</v>
      </c>
      <c r="M48" s="124">
        <f t="shared" si="32"/>
        <v>3</v>
      </c>
      <c r="N48" s="161">
        <v>0</v>
      </c>
      <c r="O48" s="98">
        <f>9.20833333333333*2</f>
        <v>18.416666666666661</v>
      </c>
      <c r="P48" s="82">
        <f>SUM(O48:O48)</f>
        <v>18.416666666666661</v>
      </c>
      <c r="Q48" s="83">
        <f>P48/30</f>
        <v>0.61388888888888871</v>
      </c>
      <c r="R48" s="84">
        <f t="shared" si="18"/>
        <v>19.337499999999995</v>
      </c>
      <c r="S48" s="83">
        <f>R48/30</f>
        <v>0.64458333333333317</v>
      </c>
      <c r="T48" s="96">
        <v>0</v>
      </c>
      <c r="U48" s="86">
        <v>27</v>
      </c>
      <c r="V48" s="136">
        <f>SUM(U48:U48)</f>
        <v>27</v>
      </c>
      <c r="W48" s="78">
        <f t="shared" si="12"/>
        <v>13.5</v>
      </c>
      <c r="X48" s="87">
        <f t="shared" si="20"/>
        <v>0.77142857142857146</v>
      </c>
      <c r="Y48" s="88">
        <f t="shared" si="13"/>
        <v>0.9642857142857143</v>
      </c>
      <c r="Z48" s="89">
        <f t="shared" si="33"/>
        <v>-2.3861111111111111</v>
      </c>
      <c r="AA48" s="89">
        <f t="shared" si="34"/>
        <v>-2.2285714285714286</v>
      </c>
      <c r="AB48" s="89">
        <f t="shared" si="28"/>
        <v>-2.0357142857142856</v>
      </c>
      <c r="AC48" s="159">
        <v>3</v>
      </c>
      <c r="AD48" s="160" t="s">
        <v>38</v>
      </c>
      <c r="AE48" s="94" t="s">
        <v>38</v>
      </c>
      <c r="AF48" s="94" t="s">
        <v>38</v>
      </c>
      <c r="AG48" s="94" t="s">
        <v>38</v>
      </c>
      <c r="AH48" s="94" t="s">
        <v>38</v>
      </c>
      <c r="AI48" s="94" t="s">
        <v>38</v>
      </c>
      <c r="AJ48" s="147" t="s">
        <v>38</v>
      </c>
      <c r="AK48" s="147" t="s">
        <v>38</v>
      </c>
      <c r="AL48" s="147" t="s">
        <v>38</v>
      </c>
      <c r="AM48" s="147" t="s">
        <v>38</v>
      </c>
      <c r="AN48" s="147" t="s">
        <v>38</v>
      </c>
      <c r="AO48" s="146"/>
      <c r="AP48" s="63"/>
    </row>
    <row r="49" spans="1:42" ht="21.75" customHeight="1" x14ac:dyDescent="0.2">
      <c r="A49" s="342"/>
      <c r="B49" s="263" t="s">
        <v>113</v>
      </c>
      <c r="C49" s="158" t="s">
        <v>38</v>
      </c>
      <c r="D49" s="158" t="s">
        <v>38</v>
      </c>
      <c r="E49" s="158">
        <v>1</v>
      </c>
      <c r="F49" s="158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299">
        <f t="shared" si="35"/>
        <v>5</v>
      </c>
      <c r="L49" s="79">
        <v>0</v>
      </c>
      <c r="M49" s="124">
        <f t="shared" si="32"/>
        <v>5</v>
      </c>
      <c r="N49" s="98">
        <v>36.638888888888886</v>
      </c>
      <c r="O49" s="98">
        <v>0</v>
      </c>
      <c r="P49" s="82">
        <f t="shared" ref="P49:P72" si="36">SUM(N49:O49)</f>
        <v>36.638888888888886</v>
      </c>
      <c r="Q49" s="83">
        <f>P49/20</f>
        <v>1.8319444444444444</v>
      </c>
      <c r="R49" s="84">
        <f t="shared" si="18"/>
        <v>38.470833333333331</v>
      </c>
      <c r="S49" s="83">
        <f>R49/20</f>
        <v>1.9235416666666665</v>
      </c>
      <c r="T49" s="85">
        <v>178</v>
      </c>
      <c r="U49" s="85">
        <v>0</v>
      </c>
      <c r="V49" s="136">
        <f t="shared" ref="V49:V54" si="37">SUM(T49:U49)</f>
        <v>178</v>
      </c>
      <c r="W49" s="78">
        <f t="shared" si="12"/>
        <v>89</v>
      </c>
      <c r="X49" s="87">
        <f t="shared" si="20"/>
        <v>5.0857142857142854</v>
      </c>
      <c r="Y49" s="88">
        <f t="shared" si="13"/>
        <v>6.3571428571428568</v>
      </c>
      <c r="Z49" s="89">
        <f t="shared" si="33"/>
        <v>-3.1680555555555556</v>
      </c>
      <c r="AA49" s="89">
        <f t="shared" si="34"/>
        <v>8.571428571428541E-2</v>
      </c>
      <c r="AB49" s="89">
        <f t="shared" si="28"/>
        <v>1.3571428571428568</v>
      </c>
      <c r="AC49" s="159">
        <v>5</v>
      </c>
      <c r="AD49" s="160" t="s">
        <v>38</v>
      </c>
      <c r="AE49" s="94" t="s">
        <v>38</v>
      </c>
      <c r="AF49" s="94" t="s">
        <v>38</v>
      </c>
      <c r="AG49" s="94" t="s">
        <v>38</v>
      </c>
      <c r="AH49" s="94" t="s">
        <v>38</v>
      </c>
      <c r="AI49" s="94" t="s">
        <v>38</v>
      </c>
      <c r="AJ49" s="147" t="s">
        <v>38</v>
      </c>
      <c r="AK49" s="147" t="s">
        <v>38</v>
      </c>
      <c r="AL49" s="147" t="s">
        <v>38</v>
      </c>
      <c r="AM49" s="147" t="s">
        <v>38</v>
      </c>
      <c r="AN49" s="147" t="s">
        <v>38</v>
      </c>
      <c r="AO49" s="146"/>
      <c r="AP49" s="63"/>
    </row>
    <row r="50" spans="1:42" ht="21.75" customHeight="1" x14ac:dyDescent="0.2">
      <c r="A50" s="342"/>
      <c r="B50" s="263" t="s">
        <v>114</v>
      </c>
      <c r="C50" s="158" t="s">
        <v>38</v>
      </c>
      <c r="D50" s="158" t="s">
        <v>38</v>
      </c>
      <c r="E50" s="158">
        <v>2</v>
      </c>
      <c r="F50" s="158" t="s">
        <v>38</v>
      </c>
      <c r="G50" s="76" t="s">
        <v>38</v>
      </c>
      <c r="H50" s="76" t="s">
        <v>38</v>
      </c>
      <c r="I50" s="76" t="s">
        <v>38</v>
      </c>
      <c r="J50" s="77">
        <v>4</v>
      </c>
      <c r="K50" s="299">
        <f t="shared" si="35"/>
        <v>6</v>
      </c>
      <c r="L50" s="79">
        <v>0</v>
      </c>
      <c r="M50" s="124">
        <f t="shared" si="32"/>
        <v>6</v>
      </c>
      <c r="N50" s="98">
        <v>234.02777777777777</v>
      </c>
      <c r="O50" s="98">
        <v>0</v>
      </c>
      <c r="P50" s="82">
        <f t="shared" si="36"/>
        <v>234.02777777777777</v>
      </c>
      <c r="Q50" s="83">
        <f>P50/30</f>
        <v>7.8009259259259256</v>
      </c>
      <c r="R50" s="84">
        <f t="shared" si="18"/>
        <v>245.72916666666666</v>
      </c>
      <c r="S50" s="83">
        <f>R50/30</f>
        <v>8.1909722222222214</v>
      </c>
      <c r="T50" s="85">
        <v>126</v>
      </c>
      <c r="U50" s="85">
        <v>0</v>
      </c>
      <c r="V50" s="136">
        <f t="shared" si="37"/>
        <v>126</v>
      </c>
      <c r="W50" s="78">
        <f t="shared" si="12"/>
        <v>63</v>
      </c>
      <c r="X50" s="87">
        <f t="shared" si="20"/>
        <v>3.6</v>
      </c>
      <c r="Y50" s="88">
        <f t="shared" si="13"/>
        <v>4.5</v>
      </c>
      <c r="Z50" s="89">
        <f t="shared" si="33"/>
        <v>1.8009259259259256</v>
      </c>
      <c r="AA50" s="89">
        <f t="shared" si="34"/>
        <v>-2.4</v>
      </c>
      <c r="AB50" s="89">
        <f t="shared" si="28"/>
        <v>-1.5</v>
      </c>
      <c r="AC50" s="159">
        <v>5</v>
      </c>
      <c r="AD50" s="160" t="s">
        <v>38</v>
      </c>
      <c r="AE50" s="94" t="s">
        <v>38</v>
      </c>
      <c r="AF50" s="94" t="s">
        <v>38</v>
      </c>
      <c r="AG50" s="94" t="s">
        <v>38</v>
      </c>
      <c r="AH50" s="94" t="s">
        <v>38</v>
      </c>
      <c r="AI50" s="94" t="s">
        <v>38</v>
      </c>
      <c r="AJ50" s="147" t="s">
        <v>38</v>
      </c>
      <c r="AK50" s="147" t="s">
        <v>38</v>
      </c>
      <c r="AL50" s="147" t="s">
        <v>38</v>
      </c>
      <c r="AM50" s="147" t="s">
        <v>38</v>
      </c>
      <c r="AN50" s="147" t="s">
        <v>38</v>
      </c>
      <c r="AO50" s="146"/>
      <c r="AP50" s="63"/>
    </row>
    <row r="51" spans="1:42" ht="21.75" customHeight="1" x14ac:dyDescent="0.2">
      <c r="A51" s="342" t="s">
        <v>74</v>
      </c>
      <c r="B51" s="263" t="s">
        <v>27</v>
      </c>
      <c r="C51" s="300" t="s">
        <v>38</v>
      </c>
      <c r="D51" s="300" t="s">
        <v>38</v>
      </c>
      <c r="E51" s="300">
        <v>1</v>
      </c>
      <c r="F51" s="300">
        <v>1</v>
      </c>
      <c r="G51" s="301" t="s">
        <v>38</v>
      </c>
      <c r="H51" s="301" t="s">
        <v>38</v>
      </c>
      <c r="I51" s="301">
        <v>3</v>
      </c>
      <c r="J51" s="302">
        <v>8</v>
      </c>
      <c r="K51" s="299">
        <f t="shared" si="35"/>
        <v>13</v>
      </c>
      <c r="L51" s="79">
        <v>1</v>
      </c>
      <c r="M51" s="303">
        <v>12</v>
      </c>
      <c r="N51" s="98">
        <v>70.722222222222229</v>
      </c>
      <c r="O51" s="98">
        <v>0</v>
      </c>
      <c r="P51" s="82">
        <f t="shared" si="36"/>
        <v>70.722222222222229</v>
      </c>
      <c r="Q51" s="83">
        <f>P51/20</f>
        <v>3.5361111111111114</v>
      </c>
      <c r="R51" s="84">
        <f t="shared" si="18"/>
        <v>74.25833333333334</v>
      </c>
      <c r="S51" s="83">
        <f>R51/20</f>
        <v>3.7129166666666671</v>
      </c>
      <c r="T51" s="103">
        <v>245</v>
      </c>
      <c r="U51" s="85">
        <v>0</v>
      </c>
      <c r="V51" s="136">
        <f t="shared" si="37"/>
        <v>245</v>
      </c>
      <c r="W51" s="78">
        <f t="shared" si="12"/>
        <v>122.5</v>
      </c>
      <c r="X51" s="87">
        <f t="shared" si="20"/>
        <v>7</v>
      </c>
      <c r="Y51" s="88">
        <f t="shared" si="13"/>
        <v>8.75</v>
      </c>
      <c r="Z51" s="89">
        <f t="shared" si="33"/>
        <v>-8.4638888888888886</v>
      </c>
      <c r="AA51" s="89">
        <f t="shared" si="34"/>
        <v>-5</v>
      </c>
      <c r="AB51" s="89">
        <f t="shared" si="28"/>
        <v>-3.25</v>
      </c>
      <c r="AC51" s="159">
        <v>5</v>
      </c>
      <c r="AD51" s="160" t="s">
        <v>38</v>
      </c>
      <c r="AE51" s="94" t="s">
        <v>38</v>
      </c>
      <c r="AF51" s="94" t="s">
        <v>38</v>
      </c>
      <c r="AG51" s="94">
        <v>1</v>
      </c>
      <c r="AH51" s="94" t="s">
        <v>38</v>
      </c>
      <c r="AI51" s="94" t="s">
        <v>38</v>
      </c>
      <c r="AJ51" s="147" t="s">
        <v>38</v>
      </c>
      <c r="AK51" s="147" t="s">
        <v>38</v>
      </c>
      <c r="AL51" s="147" t="s">
        <v>38</v>
      </c>
      <c r="AM51" s="147" t="s">
        <v>38</v>
      </c>
      <c r="AN51" s="147" t="s">
        <v>38</v>
      </c>
      <c r="AO51" s="146"/>
      <c r="AP51" s="63"/>
    </row>
    <row r="52" spans="1:42" ht="21.75" customHeight="1" x14ac:dyDescent="0.2">
      <c r="A52" s="342"/>
      <c r="B52" s="263" t="s">
        <v>21</v>
      </c>
      <c r="C52" s="300" t="s">
        <v>38</v>
      </c>
      <c r="D52" s="300" t="s">
        <v>38</v>
      </c>
      <c r="E52" s="300">
        <v>2</v>
      </c>
      <c r="F52" s="300" t="s">
        <v>38</v>
      </c>
      <c r="G52" s="301" t="s">
        <v>38</v>
      </c>
      <c r="H52" s="301" t="s">
        <v>38</v>
      </c>
      <c r="I52" s="301">
        <v>2</v>
      </c>
      <c r="J52" s="302">
        <v>2</v>
      </c>
      <c r="K52" s="299">
        <f t="shared" si="35"/>
        <v>6</v>
      </c>
      <c r="L52" s="79">
        <v>0</v>
      </c>
      <c r="M52" s="303">
        <v>6</v>
      </c>
      <c r="N52" s="98">
        <v>119.86111111111111</v>
      </c>
      <c r="O52" s="98">
        <v>0</v>
      </c>
      <c r="P52" s="82">
        <f t="shared" si="36"/>
        <v>119.86111111111111</v>
      </c>
      <c r="Q52" s="83">
        <f>P52/30</f>
        <v>3.9953703703703707</v>
      </c>
      <c r="R52" s="84">
        <f t="shared" si="18"/>
        <v>125.85416666666667</v>
      </c>
      <c r="S52" s="83">
        <f>R52/30</f>
        <v>4.1951388888888888</v>
      </c>
      <c r="T52" s="103">
        <v>149</v>
      </c>
      <c r="U52" s="85">
        <v>0</v>
      </c>
      <c r="V52" s="136">
        <f t="shared" si="37"/>
        <v>149</v>
      </c>
      <c r="W52" s="78">
        <f t="shared" si="12"/>
        <v>74.5</v>
      </c>
      <c r="X52" s="87">
        <f t="shared" si="20"/>
        <v>4.2571428571428571</v>
      </c>
      <c r="Y52" s="88">
        <f t="shared" si="13"/>
        <v>5.3214285714285712</v>
      </c>
      <c r="Z52" s="89">
        <f t="shared" si="33"/>
        <v>-2.0046296296296293</v>
      </c>
      <c r="AA52" s="89">
        <f t="shared" si="34"/>
        <v>-1.7428571428571429</v>
      </c>
      <c r="AB52" s="89">
        <f t="shared" si="28"/>
        <v>-0.67857142857142883</v>
      </c>
      <c r="AC52" s="159">
        <v>5</v>
      </c>
      <c r="AD52" s="91">
        <f>P52/30</f>
        <v>3.9953703703703707</v>
      </c>
      <c r="AE52" s="94" t="s">
        <v>38</v>
      </c>
      <c r="AF52" s="94" t="s">
        <v>38</v>
      </c>
      <c r="AG52" s="94" t="s">
        <v>38</v>
      </c>
      <c r="AH52" s="94" t="s">
        <v>38</v>
      </c>
      <c r="AI52" s="94" t="s">
        <v>38</v>
      </c>
      <c r="AJ52" s="147" t="s">
        <v>38</v>
      </c>
      <c r="AK52" s="147" t="s">
        <v>38</v>
      </c>
      <c r="AL52" s="147" t="s">
        <v>38</v>
      </c>
      <c r="AM52" s="147" t="s">
        <v>38</v>
      </c>
      <c r="AN52" s="147" t="s">
        <v>38</v>
      </c>
      <c r="AO52" s="146"/>
      <c r="AP52" s="63"/>
    </row>
    <row r="53" spans="1:42" ht="21.75" customHeight="1" x14ac:dyDescent="0.2">
      <c r="A53" s="342" t="s">
        <v>75</v>
      </c>
      <c r="B53" s="263" t="s">
        <v>27</v>
      </c>
      <c r="C53" s="158" t="s">
        <v>38</v>
      </c>
      <c r="D53" s="158" t="s">
        <v>38</v>
      </c>
      <c r="E53" s="158">
        <v>2</v>
      </c>
      <c r="F53" s="158">
        <v>1</v>
      </c>
      <c r="G53" s="76" t="s">
        <v>38</v>
      </c>
      <c r="H53" s="76" t="s">
        <v>38</v>
      </c>
      <c r="I53" s="76">
        <v>5</v>
      </c>
      <c r="J53" s="77">
        <v>4</v>
      </c>
      <c r="K53" s="299">
        <f t="shared" si="35"/>
        <v>12</v>
      </c>
      <c r="L53" s="79">
        <v>1</v>
      </c>
      <c r="M53" s="124">
        <f t="shared" si="32"/>
        <v>11</v>
      </c>
      <c r="N53" s="98">
        <v>85.555555555555557</v>
      </c>
      <c r="O53" s="98">
        <v>0</v>
      </c>
      <c r="P53" s="82">
        <f t="shared" si="36"/>
        <v>85.555555555555557</v>
      </c>
      <c r="Q53" s="83">
        <f>P53/20</f>
        <v>4.2777777777777777</v>
      </c>
      <c r="R53" s="84">
        <f t="shared" si="18"/>
        <v>89.833333333333329</v>
      </c>
      <c r="S53" s="83">
        <f>R53/20</f>
        <v>4.4916666666666663</v>
      </c>
      <c r="T53" s="103">
        <v>291</v>
      </c>
      <c r="U53" s="85">
        <v>0</v>
      </c>
      <c r="V53" s="136">
        <f t="shared" si="37"/>
        <v>291</v>
      </c>
      <c r="W53" s="78">
        <f t="shared" si="12"/>
        <v>145.5</v>
      </c>
      <c r="X53" s="87">
        <f t="shared" si="20"/>
        <v>8.3142857142857149</v>
      </c>
      <c r="Y53" s="88">
        <f t="shared" si="13"/>
        <v>10.392857142857142</v>
      </c>
      <c r="Z53" s="89">
        <f t="shared" si="33"/>
        <v>-6.7222222222222223</v>
      </c>
      <c r="AA53" s="89">
        <f t="shared" si="34"/>
        <v>-2.6857142857142851</v>
      </c>
      <c r="AB53" s="89">
        <f t="shared" si="28"/>
        <v>-0.60714285714285765</v>
      </c>
      <c r="AC53" s="159">
        <v>5</v>
      </c>
      <c r="AD53" s="160" t="s">
        <v>38</v>
      </c>
      <c r="AE53" s="94" t="s">
        <v>38</v>
      </c>
      <c r="AF53" s="94">
        <v>1</v>
      </c>
      <c r="AG53" s="94">
        <v>1</v>
      </c>
      <c r="AH53" s="94" t="s">
        <v>38</v>
      </c>
      <c r="AI53" s="94" t="s">
        <v>38</v>
      </c>
      <c r="AJ53" s="147" t="s">
        <v>38</v>
      </c>
      <c r="AK53" s="147" t="s">
        <v>38</v>
      </c>
      <c r="AL53" s="147" t="s">
        <v>38</v>
      </c>
      <c r="AM53" s="147" t="s">
        <v>38</v>
      </c>
      <c r="AN53" s="147" t="s">
        <v>38</v>
      </c>
      <c r="AO53" s="146"/>
      <c r="AP53" s="63"/>
    </row>
    <row r="54" spans="1:42" ht="21.75" customHeight="1" x14ac:dyDescent="0.2">
      <c r="A54" s="342"/>
      <c r="B54" s="263" t="s">
        <v>21</v>
      </c>
      <c r="C54" s="158" t="s">
        <v>38</v>
      </c>
      <c r="D54" s="158" t="s">
        <v>38</v>
      </c>
      <c r="E54" s="158">
        <v>1</v>
      </c>
      <c r="F54" s="158" t="s">
        <v>38</v>
      </c>
      <c r="G54" s="76" t="s">
        <v>38</v>
      </c>
      <c r="H54" s="76" t="s">
        <v>38</v>
      </c>
      <c r="I54" s="76">
        <v>4</v>
      </c>
      <c r="J54" s="77">
        <v>1</v>
      </c>
      <c r="K54" s="299">
        <f t="shared" si="35"/>
        <v>6</v>
      </c>
      <c r="L54" s="79">
        <v>0</v>
      </c>
      <c r="M54" s="124">
        <f t="shared" si="32"/>
        <v>6</v>
      </c>
      <c r="N54" s="98">
        <v>124.33333333333333</v>
      </c>
      <c r="O54" s="98">
        <v>0</v>
      </c>
      <c r="P54" s="82">
        <f t="shared" si="36"/>
        <v>124.33333333333333</v>
      </c>
      <c r="Q54" s="83">
        <f>P54/30</f>
        <v>4.1444444444444439</v>
      </c>
      <c r="R54" s="84">
        <f t="shared" si="18"/>
        <v>130.54999999999998</v>
      </c>
      <c r="S54" s="83">
        <f>R54/30</f>
        <v>4.3516666666666657</v>
      </c>
      <c r="T54" s="103">
        <v>140</v>
      </c>
      <c r="U54" s="85">
        <v>0</v>
      </c>
      <c r="V54" s="136">
        <f t="shared" si="37"/>
        <v>140</v>
      </c>
      <c r="W54" s="78">
        <f t="shared" si="12"/>
        <v>70</v>
      </c>
      <c r="X54" s="87">
        <f t="shared" si="20"/>
        <v>4</v>
      </c>
      <c r="Y54" s="88">
        <f t="shared" si="13"/>
        <v>5</v>
      </c>
      <c r="Z54" s="89">
        <f t="shared" si="33"/>
        <v>-1.8555555555555561</v>
      </c>
      <c r="AA54" s="89">
        <f t="shared" si="34"/>
        <v>-2</v>
      </c>
      <c r="AB54" s="89">
        <f t="shared" si="28"/>
        <v>-1</v>
      </c>
      <c r="AC54" s="159">
        <v>5</v>
      </c>
      <c r="AD54" s="91">
        <f>P54/30</f>
        <v>4.1444444444444439</v>
      </c>
      <c r="AE54" s="94" t="s">
        <v>38</v>
      </c>
      <c r="AF54" s="94" t="s">
        <v>38</v>
      </c>
      <c r="AG54" s="94" t="s">
        <v>38</v>
      </c>
      <c r="AH54" s="94" t="s">
        <v>38</v>
      </c>
      <c r="AI54" s="94" t="s">
        <v>38</v>
      </c>
      <c r="AJ54" s="147" t="s">
        <v>38</v>
      </c>
      <c r="AK54" s="147" t="s">
        <v>38</v>
      </c>
      <c r="AL54" s="147" t="s">
        <v>38</v>
      </c>
      <c r="AM54" s="147" t="s">
        <v>38</v>
      </c>
      <c r="AN54" s="147" t="s">
        <v>38</v>
      </c>
      <c r="AO54" s="146"/>
      <c r="AP54" s="63"/>
    </row>
    <row r="55" spans="1:42" ht="21.75" customHeight="1" x14ac:dyDescent="0.2">
      <c r="A55" s="342" t="s">
        <v>76</v>
      </c>
      <c r="B55" s="263" t="s">
        <v>122</v>
      </c>
      <c r="C55" s="158" t="s">
        <v>38</v>
      </c>
      <c r="D55" s="158" t="s">
        <v>38</v>
      </c>
      <c r="E55" s="158">
        <v>1</v>
      </c>
      <c r="F55" s="158" t="s">
        <v>38</v>
      </c>
      <c r="G55" s="76" t="s">
        <v>38</v>
      </c>
      <c r="H55" s="76" t="s">
        <v>38</v>
      </c>
      <c r="I55" s="76" t="s">
        <v>38</v>
      </c>
      <c r="J55" s="77" t="s">
        <v>38</v>
      </c>
      <c r="K55" s="299">
        <f t="shared" si="35"/>
        <v>1</v>
      </c>
      <c r="L55" s="79">
        <v>0</v>
      </c>
      <c r="M55" s="124">
        <f t="shared" si="32"/>
        <v>1</v>
      </c>
      <c r="N55" s="98">
        <v>0</v>
      </c>
      <c r="O55" s="98">
        <f>11.875*2</f>
        <v>23.75</v>
      </c>
      <c r="P55" s="82">
        <f t="shared" si="36"/>
        <v>23.75</v>
      </c>
      <c r="Q55" s="83">
        <f>P55/20</f>
        <v>1.1875</v>
      </c>
      <c r="R55" s="84">
        <f t="shared" si="18"/>
        <v>24.9375</v>
      </c>
      <c r="S55" s="83">
        <f>R55/20</f>
        <v>1.246875</v>
      </c>
      <c r="T55" s="96">
        <v>0</v>
      </c>
      <c r="U55" s="86">
        <v>38</v>
      </c>
      <c r="V55" s="136">
        <f>SUM(U55:U55)</f>
        <v>38</v>
      </c>
      <c r="W55" s="78">
        <f t="shared" si="12"/>
        <v>19</v>
      </c>
      <c r="X55" s="87">
        <f t="shared" si="20"/>
        <v>1.0857142857142856</v>
      </c>
      <c r="Y55" s="88">
        <f t="shared" si="13"/>
        <v>1.3571428571428572</v>
      </c>
      <c r="Z55" s="89">
        <f t="shared" si="33"/>
        <v>0.1875</v>
      </c>
      <c r="AA55" s="89">
        <f t="shared" si="34"/>
        <v>8.5714285714285632E-2</v>
      </c>
      <c r="AB55" s="89">
        <f t="shared" si="28"/>
        <v>0.35714285714285721</v>
      </c>
      <c r="AC55" s="159">
        <v>3</v>
      </c>
      <c r="AD55" s="160" t="s">
        <v>38</v>
      </c>
      <c r="AE55" s="94" t="s">
        <v>38</v>
      </c>
      <c r="AF55" s="94" t="s">
        <v>38</v>
      </c>
      <c r="AG55" s="94" t="s">
        <v>38</v>
      </c>
      <c r="AH55" s="94">
        <v>1</v>
      </c>
      <c r="AI55" s="94" t="s">
        <v>38</v>
      </c>
      <c r="AJ55" s="147" t="s">
        <v>38</v>
      </c>
      <c r="AK55" s="147" t="s">
        <v>38</v>
      </c>
      <c r="AL55" s="147" t="s">
        <v>38</v>
      </c>
      <c r="AM55" s="147" t="s">
        <v>38</v>
      </c>
      <c r="AN55" s="147" t="s">
        <v>38</v>
      </c>
      <c r="AO55" s="146" t="s">
        <v>123</v>
      </c>
      <c r="AP55" s="63"/>
    </row>
    <row r="56" spans="1:42" ht="21.75" customHeight="1" x14ac:dyDescent="0.2">
      <c r="A56" s="342"/>
      <c r="B56" s="263" t="s">
        <v>115</v>
      </c>
      <c r="C56" s="158" t="s">
        <v>38</v>
      </c>
      <c r="D56" s="158" t="s">
        <v>38</v>
      </c>
      <c r="E56" s="158" t="s">
        <v>38</v>
      </c>
      <c r="F56" s="158" t="s">
        <v>38</v>
      </c>
      <c r="G56" s="76" t="s">
        <v>38</v>
      </c>
      <c r="H56" s="76" t="s">
        <v>38</v>
      </c>
      <c r="I56" s="76">
        <v>2</v>
      </c>
      <c r="J56" s="77">
        <v>3</v>
      </c>
      <c r="K56" s="299">
        <f t="shared" si="35"/>
        <v>5</v>
      </c>
      <c r="L56" s="79">
        <v>0</v>
      </c>
      <c r="M56" s="124">
        <f t="shared" si="32"/>
        <v>5</v>
      </c>
      <c r="N56" s="98">
        <v>30.805555555555557</v>
      </c>
      <c r="O56" s="98">
        <v>0</v>
      </c>
      <c r="P56" s="82">
        <f t="shared" si="36"/>
        <v>30.805555555555557</v>
      </c>
      <c r="Q56" s="83">
        <f>P56/20</f>
        <v>1.5402777777777779</v>
      </c>
      <c r="R56" s="84">
        <f t="shared" si="18"/>
        <v>32.345833333333331</v>
      </c>
      <c r="S56" s="83">
        <f>R56/20</f>
        <v>1.6172916666666666</v>
      </c>
      <c r="T56" s="103">
        <f>107+88</f>
        <v>195</v>
      </c>
      <c r="U56" s="85">
        <v>0</v>
      </c>
      <c r="V56" s="136">
        <f>SUM(T56:U56)</f>
        <v>195</v>
      </c>
      <c r="W56" s="78">
        <f t="shared" si="12"/>
        <v>97.5</v>
      </c>
      <c r="X56" s="87">
        <f t="shared" si="20"/>
        <v>5.5714285714285712</v>
      </c>
      <c r="Y56" s="88">
        <f t="shared" si="13"/>
        <v>6.9642857142857144</v>
      </c>
      <c r="Z56" s="89">
        <f t="shared" si="33"/>
        <v>-3.4597222222222221</v>
      </c>
      <c r="AA56" s="89">
        <f t="shared" si="34"/>
        <v>0.57142857142857117</v>
      </c>
      <c r="AB56" s="89">
        <f t="shared" si="28"/>
        <v>1.9642857142857144</v>
      </c>
      <c r="AC56" s="145">
        <v>5</v>
      </c>
      <c r="AD56" s="128" t="s">
        <v>38</v>
      </c>
      <c r="AE56" s="94" t="s">
        <v>38</v>
      </c>
      <c r="AF56" s="94" t="s">
        <v>38</v>
      </c>
      <c r="AG56" s="94" t="s">
        <v>38</v>
      </c>
      <c r="AH56" s="94" t="s">
        <v>38</v>
      </c>
      <c r="AI56" s="94" t="s">
        <v>38</v>
      </c>
      <c r="AJ56" s="147" t="s">
        <v>38</v>
      </c>
      <c r="AK56" s="147" t="s">
        <v>38</v>
      </c>
      <c r="AL56" s="147" t="s">
        <v>38</v>
      </c>
      <c r="AM56" s="147" t="s">
        <v>38</v>
      </c>
      <c r="AN56" s="147" t="s">
        <v>38</v>
      </c>
      <c r="AO56" s="146" t="s">
        <v>123</v>
      </c>
      <c r="AP56" s="63"/>
    </row>
    <row r="57" spans="1:42" ht="21.75" customHeight="1" x14ac:dyDescent="0.2">
      <c r="A57" s="342"/>
      <c r="B57" s="263" t="s">
        <v>121</v>
      </c>
      <c r="C57" s="158" t="s">
        <v>38</v>
      </c>
      <c r="D57" s="158" t="s">
        <v>38</v>
      </c>
      <c r="E57" s="158">
        <v>1</v>
      </c>
      <c r="F57" s="158" t="s">
        <v>38</v>
      </c>
      <c r="G57" s="76" t="s">
        <v>38</v>
      </c>
      <c r="H57" s="76" t="s">
        <v>38</v>
      </c>
      <c r="I57" s="76" t="s">
        <v>38</v>
      </c>
      <c r="J57" s="76" t="s">
        <v>38</v>
      </c>
      <c r="K57" s="299">
        <f t="shared" si="35"/>
        <v>1</v>
      </c>
      <c r="L57" s="79">
        <v>0</v>
      </c>
      <c r="M57" s="124">
        <f t="shared" si="32"/>
        <v>1</v>
      </c>
      <c r="N57" s="98">
        <v>140.86000000000001</v>
      </c>
      <c r="O57" s="98">
        <v>0</v>
      </c>
      <c r="P57" s="82">
        <f t="shared" si="36"/>
        <v>140.86000000000001</v>
      </c>
      <c r="Q57" s="83">
        <f>P57/30</f>
        <v>4.695333333333334</v>
      </c>
      <c r="R57" s="84">
        <f t="shared" si="18"/>
        <v>147.90300000000002</v>
      </c>
      <c r="S57" s="83">
        <f>R57/20</f>
        <v>7.395150000000001</v>
      </c>
      <c r="T57" s="103">
        <f>107+9</f>
        <v>116</v>
      </c>
      <c r="U57" s="85">
        <v>0</v>
      </c>
      <c r="V57" s="136">
        <f>SUM(T57:U57)</f>
        <v>116</v>
      </c>
      <c r="W57" s="78">
        <f t="shared" si="12"/>
        <v>58</v>
      </c>
      <c r="X57" s="87">
        <f t="shared" si="20"/>
        <v>3.3142857142857145</v>
      </c>
      <c r="Y57" s="88">
        <f t="shared" si="13"/>
        <v>4.1428571428571432</v>
      </c>
      <c r="Z57" s="89">
        <f t="shared" si="33"/>
        <v>3.695333333333334</v>
      </c>
      <c r="AA57" s="89">
        <f t="shared" si="34"/>
        <v>2.3142857142857145</v>
      </c>
      <c r="AB57" s="89">
        <f t="shared" si="28"/>
        <v>3.1428571428571432</v>
      </c>
      <c r="AC57" s="145">
        <v>5</v>
      </c>
      <c r="AD57" s="91">
        <f>P57/30</f>
        <v>4.695333333333334</v>
      </c>
      <c r="AE57" s="94" t="s">
        <v>38</v>
      </c>
      <c r="AF57" s="94" t="s">
        <v>38</v>
      </c>
      <c r="AG57" s="94" t="s">
        <v>38</v>
      </c>
      <c r="AH57" s="94" t="s">
        <v>38</v>
      </c>
      <c r="AI57" s="94" t="s">
        <v>38</v>
      </c>
      <c r="AJ57" s="147" t="s">
        <v>38</v>
      </c>
      <c r="AK57" s="147" t="s">
        <v>38</v>
      </c>
      <c r="AL57" s="147" t="s">
        <v>38</v>
      </c>
      <c r="AM57" s="147" t="s">
        <v>38</v>
      </c>
      <c r="AN57" s="147" t="s">
        <v>38</v>
      </c>
      <c r="AO57" s="146"/>
      <c r="AP57" s="63"/>
    </row>
    <row r="58" spans="1:42" ht="21.75" customHeight="1" x14ac:dyDescent="0.2">
      <c r="A58" s="342"/>
      <c r="B58" s="263" t="s">
        <v>116</v>
      </c>
      <c r="C58" s="158" t="s">
        <v>38</v>
      </c>
      <c r="D58" s="158">
        <v>1</v>
      </c>
      <c r="E58" s="158">
        <v>1</v>
      </c>
      <c r="F58" s="158" t="s">
        <v>38</v>
      </c>
      <c r="G58" s="76" t="s">
        <v>38</v>
      </c>
      <c r="H58" s="76">
        <v>1</v>
      </c>
      <c r="I58" s="76">
        <v>3</v>
      </c>
      <c r="J58" s="77">
        <v>1</v>
      </c>
      <c r="K58" s="299">
        <f t="shared" si="35"/>
        <v>7</v>
      </c>
      <c r="L58" s="79">
        <v>1</v>
      </c>
      <c r="M58" s="124">
        <f t="shared" si="32"/>
        <v>6</v>
      </c>
      <c r="N58" s="98">
        <v>131.55555555555554</v>
      </c>
      <c r="O58" s="98">
        <v>0</v>
      </c>
      <c r="P58" s="82">
        <f t="shared" si="36"/>
        <v>131.55555555555554</v>
      </c>
      <c r="Q58" s="83">
        <f>P58/30</f>
        <v>4.3851851851851844</v>
      </c>
      <c r="R58" s="84">
        <f t="shared" si="18"/>
        <v>138.13333333333333</v>
      </c>
      <c r="S58" s="83">
        <f>R58/30</f>
        <v>4.6044444444444439</v>
      </c>
      <c r="T58" s="103">
        <v>108</v>
      </c>
      <c r="U58" s="85">
        <v>0</v>
      </c>
      <c r="V58" s="136">
        <f>SUM(T58:U58)</f>
        <v>108</v>
      </c>
      <c r="W58" s="78">
        <f t="shared" si="12"/>
        <v>54</v>
      </c>
      <c r="X58" s="87">
        <f t="shared" si="20"/>
        <v>3.0857142857142859</v>
      </c>
      <c r="Y58" s="88">
        <f t="shared" si="13"/>
        <v>3.8571428571428572</v>
      </c>
      <c r="Z58" s="89">
        <f t="shared" si="33"/>
        <v>-1.6148148148148156</v>
      </c>
      <c r="AA58" s="89">
        <f t="shared" si="34"/>
        <v>-2.9142857142857141</v>
      </c>
      <c r="AB58" s="89">
        <f t="shared" si="28"/>
        <v>-2.1428571428571428</v>
      </c>
      <c r="AC58" s="145">
        <v>5</v>
      </c>
      <c r="AD58" s="91">
        <f>P58/30</f>
        <v>4.3851851851851844</v>
      </c>
      <c r="AE58" s="94" t="s">
        <v>38</v>
      </c>
      <c r="AF58" s="94" t="s">
        <v>38</v>
      </c>
      <c r="AG58" s="94" t="s">
        <v>38</v>
      </c>
      <c r="AH58" s="94">
        <v>2</v>
      </c>
      <c r="AI58" s="94" t="s">
        <v>38</v>
      </c>
      <c r="AJ58" s="147" t="s">
        <v>38</v>
      </c>
      <c r="AK58" s="147" t="s">
        <v>38</v>
      </c>
      <c r="AL58" s="147" t="s">
        <v>38</v>
      </c>
      <c r="AM58" s="147" t="s">
        <v>38</v>
      </c>
      <c r="AN58" s="147" t="s">
        <v>38</v>
      </c>
      <c r="AO58" s="94" t="s">
        <v>127</v>
      </c>
      <c r="AP58" s="63"/>
    </row>
    <row r="59" spans="1:42" ht="21.75" customHeight="1" x14ac:dyDescent="0.2">
      <c r="A59" s="162" t="s">
        <v>77</v>
      </c>
      <c r="B59" s="263" t="s">
        <v>354</v>
      </c>
      <c r="C59" s="158" t="s">
        <v>38</v>
      </c>
      <c r="D59" s="158">
        <v>1</v>
      </c>
      <c r="E59" s="158" t="s">
        <v>38</v>
      </c>
      <c r="F59" s="158" t="s">
        <v>38</v>
      </c>
      <c r="G59" s="76" t="s">
        <v>38</v>
      </c>
      <c r="H59" s="312">
        <v>0</v>
      </c>
      <c r="I59" s="76" t="s">
        <v>38</v>
      </c>
      <c r="J59" s="77">
        <v>3</v>
      </c>
      <c r="K59" s="299">
        <f t="shared" si="35"/>
        <v>4</v>
      </c>
      <c r="L59" s="79">
        <v>0</v>
      </c>
      <c r="M59" s="124">
        <f t="shared" si="32"/>
        <v>4</v>
      </c>
      <c r="N59" s="98">
        <v>163.91666666666666</v>
      </c>
      <c r="O59" s="98">
        <v>0</v>
      </c>
      <c r="P59" s="82">
        <f t="shared" si="36"/>
        <v>163.91666666666666</v>
      </c>
      <c r="Q59" s="83">
        <f t="shared" ref="Q59:Q69" si="38">P59/20</f>
        <v>8.1958333333333329</v>
      </c>
      <c r="R59" s="84">
        <f t="shared" si="18"/>
        <v>172.11249999999998</v>
      </c>
      <c r="S59" s="83">
        <f t="shared" ref="S59:S69" si="39">R59/20</f>
        <v>8.6056249999999999</v>
      </c>
      <c r="T59" s="103">
        <v>117</v>
      </c>
      <c r="U59" s="85">
        <v>0</v>
      </c>
      <c r="V59" s="136">
        <f>SUM(T59:U59)</f>
        <v>117</v>
      </c>
      <c r="W59" s="78">
        <f t="shared" si="12"/>
        <v>58.5</v>
      </c>
      <c r="X59" s="87">
        <f t="shared" si="20"/>
        <v>3.342857142857143</v>
      </c>
      <c r="Y59" s="88">
        <f t="shared" si="13"/>
        <v>4.1785714285714288</v>
      </c>
      <c r="Z59" s="89">
        <f t="shared" si="33"/>
        <v>4.1958333333333329</v>
      </c>
      <c r="AA59" s="89">
        <f t="shared" si="34"/>
        <v>-0.65714285714285703</v>
      </c>
      <c r="AB59" s="89">
        <f t="shared" si="28"/>
        <v>0.17857142857142883</v>
      </c>
      <c r="AC59" s="145">
        <v>5</v>
      </c>
      <c r="AD59" s="128" t="s">
        <v>38</v>
      </c>
      <c r="AE59" s="94" t="s">
        <v>38</v>
      </c>
      <c r="AF59" s="94" t="s">
        <v>38</v>
      </c>
      <c r="AG59" s="94" t="s">
        <v>38</v>
      </c>
      <c r="AH59" s="94" t="s">
        <v>38</v>
      </c>
      <c r="AI59" s="94" t="s">
        <v>38</v>
      </c>
      <c r="AJ59" s="147" t="s">
        <v>38</v>
      </c>
      <c r="AK59" s="147" t="s">
        <v>38</v>
      </c>
      <c r="AL59" s="147" t="s">
        <v>38</v>
      </c>
      <c r="AM59" s="147" t="s">
        <v>38</v>
      </c>
      <c r="AN59" s="147" t="s">
        <v>38</v>
      </c>
      <c r="AO59" s="146"/>
      <c r="AP59" s="63"/>
    </row>
    <row r="60" spans="1:42" ht="21.75" customHeight="1" x14ac:dyDescent="0.2">
      <c r="A60" s="308" t="s">
        <v>78</v>
      </c>
      <c r="B60" s="263" t="s">
        <v>182</v>
      </c>
      <c r="C60" s="158" t="s">
        <v>38</v>
      </c>
      <c r="D60" s="158" t="s">
        <v>38</v>
      </c>
      <c r="E60" s="158">
        <v>2</v>
      </c>
      <c r="F60" s="158" t="s">
        <v>38</v>
      </c>
      <c r="G60" s="76" t="s">
        <v>38</v>
      </c>
      <c r="H60" s="76" t="s">
        <v>38</v>
      </c>
      <c r="I60" s="76">
        <v>1</v>
      </c>
      <c r="J60" s="77" t="s">
        <v>38</v>
      </c>
      <c r="K60" s="299">
        <f t="shared" si="35"/>
        <v>3</v>
      </c>
      <c r="L60" s="79">
        <v>0</v>
      </c>
      <c r="M60" s="124">
        <f t="shared" si="32"/>
        <v>3</v>
      </c>
      <c r="N60" s="98">
        <v>0</v>
      </c>
      <c r="O60" s="98">
        <v>3.458333333333333</v>
      </c>
      <c r="P60" s="82">
        <f t="shared" si="36"/>
        <v>3.458333333333333</v>
      </c>
      <c r="Q60" s="83">
        <f t="shared" si="38"/>
        <v>0.17291666666666666</v>
      </c>
      <c r="R60" s="84">
        <f t="shared" si="18"/>
        <v>3.6312499999999996</v>
      </c>
      <c r="S60" s="83">
        <f t="shared" si="39"/>
        <v>0.18156249999999999</v>
      </c>
      <c r="T60" s="96">
        <v>0</v>
      </c>
      <c r="U60" s="85">
        <f>20+28</f>
        <v>48</v>
      </c>
      <c r="V60" s="136">
        <f>SUM(U60:U60)</f>
        <v>48</v>
      </c>
      <c r="W60" s="78">
        <f t="shared" si="12"/>
        <v>24</v>
      </c>
      <c r="X60" s="87">
        <f t="shared" si="20"/>
        <v>1.3714285714285714</v>
      </c>
      <c r="Y60" s="88">
        <f t="shared" si="13"/>
        <v>1.7142857142857142</v>
      </c>
      <c r="Z60" s="100">
        <f t="shared" si="33"/>
        <v>-2.8270833333333334</v>
      </c>
      <c r="AA60" s="100">
        <f t="shared" si="34"/>
        <v>-1.6285714285714286</v>
      </c>
      <c r="AB60" s="100">
        <f t="shared" si="28"/>
        <v>-1.2857142857142858</v>
      </c>
      <c r="AC60" s="145">
        <v>3</v>
      </c>
      <c r="AD60" s="128" t="s">
        <v>38</v>
      </c>
      <c r="AE60" s="94" t="s">
        <v>38</v>
      </c>
      <c r="AF60" s="94" t="s">
        <v>38</v>
      </c>
      <c r="AG60" s="94" t="s">
        <v>38</v>
      </c>
      <c r="AH60" s="94" t="s">
        <v>38</v>
      </c>
      <c r="AI60" s="94" t="s">
        <v>38</v>
      </c>
      <c r="AJ60" s="147" t="s">
        <v>38</v>
      </c>
      <c r="AK60" s="147" t="s">
        <v>38</v>
      </c>
      <c r="AL60" s="147" t="s">
        <v>38</v>
      </c>
      <c r="AM60" s="147" t="s">
        <v>38</v>
      </c>
      <c r="AN60" s="147" t="s">
        <v>38</v>
      </c>
      <c r="AO60" s="146"/>
      <c r="AP60" s="63"/>
    </row>
    <row r="61" spans="1:42" ht="21.75" customHeight="1" x14ac:dyDescent="0.2">
      <c r="A61" s="308"/>
      <c r="B61" s="263" t="s">
        <v>117</v>
      </c>
      <c r="C61" s="158" t="s">
        <v>38</v>
      </c>
      <c r="D61" s="158" t="s">
        <v>38</v>
      </c>
      <c r="E61" s="158" t="s">
        <v>38</v>
      </c>
      <c r="F61" s="158">
        <v>2</v>
      </c>
      <c r="G61" s="76" t="s">
        <v>38</v>
      </c>
      <c r="H61" s="76" t="s">
        <v>38</v>
      </c>
      <c r="I61" s="76">
        <v>1</v>
      </c>
      <c r="J61" s="77">
        <v>4</v>
      </c>
      <c r="K61" s="299">
        <f t="shared" si="35"/>
        <v>7</v>
      </c>
      <c r="L61" s="79">
        <v>1</v>
      </c>
      <c r="M61" s="124">
        <f t="shared" si="32"/>
        <v>6</v>
      </c>
      <c r="N61" s="98">
        <v>85.555555555555557</v>
      </c>
      <c r="O61" s="98">
        <v>0</v>
      </c>
      <c r="P61" s="82">
        <f t="shared" si="36"/>
        <v>85.555555555555557</v>
      </c>
      <c r="Q61" s="83">
        <f t="shared" si="38"/>
        <v>4.2777777777777777</v>
      </c>
      <c r="R61" s="84">
        <f t="shared" si="18"/>
        <v>89.833333333333329</v>
      </c>
      <c r="S61" s="83">
        <f t="shared" si="39"/>
        <v>4.4916666666666663</v>
      </c>
      <c r="T61" s="103">
        <f>278+92</f>
        <v>370</v>
      </c>
      <c r="U61" s="85">
        <v>0</v>
      </c>
      <c r="V61" s="136">
        <f t="shared" ref="V61:V89" si="40">SUM(T61:U61)</f>
        <v>370</v>
      </c>
      <c r="W61" s="78">
        <f t="shared" si="12"/>
        <v>185</v>
      </c>
      <c r="X61" s="87">
        <f t="shared" si="20"/>
        <v>10.571428571428571</v>
      </c>
      <c r="Y61" s="88">
        <f t="shared" si="13"/>
        <v>13.214285714285714</v>
      </c>
      <c r="Z61" s="89">
        <f t="shared" si="33"/>
        <v>-1.7222222222222223</v>
      </c>
      <c r="AA61" s="89">
        <f t="shared" si="34"/>
        <v>4.5714285714285712</v>
      </c>
      <c r="AB61" s="89">
        <f t="shared" si="28"/>
        <v>7.2142857142857135</v>
      </c>
      <c r="AC61" s="145">
        <v>5</v>
      </c>
      <c r="AD61" s="128" t="s">
        <v>38</v>
      </c>
      <c r="AE61" s="94" t="s">
        <v>38</v>
      </c>
      <c r="AF61" s="94" t="s">
        <v>38</v>
      </c>
      <c r="AG61" s="94" t="s">
        <v>38</v>
      </c>
      <c r="AH61" s="94" t="s">
        <v>38</v>
      </c>
      <c r="AI61" s="94" t="s">
        <v>38</v>
      </c>
      <c r="AJ61" s="147" t="s">
        <v>38</v>
      </c>
      <c r="AK61" s="147" t="s">
        <v>38</v>
      </c>
      <c r="AL61" s="147" t="s">
        <v>38</v>
      </c>
      <c r="AM61" s="147" t="s">
        <v>38</v>
      </c>
      <c r="AN61" s="147" t="s">
        <v>38</v>
      </c>
      <c r="AO61" s="94" t="s">
        <v>132</v>
      </c>
      <c r="AP61" s="63"/>
    </row>
    <row r="62" spans="1:42" ht="21.75" customHeight="1" x14ac:dyDescent="0.2">
      <c r="A62" s="308"/>
      <c r="B62" s="263" t="s">
        <v>42</v>
      </c>
      <c r="C62" s="158" t="s">
        <v>38</v>
      </c>
      <c r="D62" s="158" t="s">
        <v>38</v>
      </c>
      <c r="E62" s="158" t="s">
        <v>38</v>
      </c>
      <c r="F62" s="158" t="s">
        <v>38</v>
      </c>
      <c r="G62" s="76" t="s">
        <v>38</v>
      </c>
      <c r="H62" s="76" t="s">
        <v>38</v>
      </c>
      <c r="I62" s="76">
        <v>3</v>
      </c>
      <c r="J62" s="77">
        <v>3</v>
      </c>
      <c r="K62" s="299">
        <f t="shared" si="35"/>
        <v>6</v>
      </c>
      <c r="L62" s="79">
        <v>0</v>
      </c>
      <c r="M62" s="124">
        <f t="shared" si="32"/>
        <v>6</v>
      </c>
      <c r="N62" s="98">
        <v>25.361111111111111</v>
      </c>
      <c r="O62" s="98">
        <v>0</v>
      </c>
      <c r="P62" s="82">
        <f t="shared" si="36"/>
        <v>25.361111111111111</v>
      </c>
      <c r="Q62" s="83">
        <f t="shared" si="38"/>
        <v>1.2680555555555555</v>
      </c>
      <c r="R62" s="84">
        <f t="shared" si="18"/>
        <v>26.629166666666666</v>
      </c>
      <c r="S62" s="83">
        <f t="shared" si="39"/>
        <v>1.3314583333333334</v>
      </c>
      <c r="T62" s="103">
        <v>182</v>
      </c>
      <c r="U62" s="85">
        <v>0</v>
      </c>
      <c r="V62" s="136">
        <f t="shared" si="40"/>
        <v>182</v>
      </c>
      <c r="W62" s="78">
        <f t="shared" si="12"/>
        <v>91</v>
      </c>
      <c r="X62" s="87">
        <f t="shared" si="20"/>
        <v>5.2</v>
      </c>
      <c r="Y62" s="88">
        <f t="shared" si="13"/>
        <v>6.5</v>
      </c>
      <c r="Z62" s="89">
        <f t="shared" si="33"/>
        <v>-4.7319444444444443</v>
      </c>
      <c r="AA62" s="89">
        <f t="shared" si="34"/>
        <v>-0.79999999999999982</v>
      </c>
      <c r="AB62" s="89">
        <f t="shared" si="28"/>
        <v>0.5</v>
      </c>
      <c r="AC62" s="145">
        <v>5</v>
      </c>
      <c r="AD62" s="128" t="s">
        <v>38</v>
      </c>
      <c r="AE62" s="94" t="s">
        <v>38</v>
      </c>
      <c r="AF62" s="94" t="s">
        <v>38</v>
      </c>
      <c r="AG62" s="94" t="s">
        <v>38</v>
      </c>
      <c r="AH62" s="94" t="s">
        <v>38</v>
      </c>
      <c r="AI62" s="94" t="s">
        <v>38</v>
      </c>
      <c r="AJ62" s="147" t="s">
        <v>38</v>
      </c>
      <c r="AK62" s="147" t="s">
        <v>38</v>
      </c>
      <c r="AL62" s="147" t="s">
        <v>38</v>
      </c>
      <c r="AM62" s="147" t="s">
        <v>38</v>
      </c>
      <c r="AN62" s="147" t="s">
        <v>38</v>
      </c>
      <c r="AO62" s="146"/>
      <c r="AP62" s="63"/>
    </row>
    <row r="63" spans="1:42" ht="21.75" customHeight="1" x14ac:dyDescent="0.2">
      <c r="A63" s="308"/>
      <c r="B63" s="263" t="s">
        <v>43</v>
      </c>
      <c r="C63" s="158" t="s">
        <v>38</v>
      </c>
      <c r="D63" s="158" t="s">
        <v>38</v>
      </c>
      <c r="E63" s="158" t="s">
        <v>38</v>
      </c>
      <c r="F63" s="158">
        <v>2</v>
      </c>
      <c r="G63" s="76" t="s">
        <v>38</v>
      </c>
      <c r="H63" s="76" t="s">
        <v>38</v>
      </c>
      <c r="I63" s="76">
        <v>2</v>
      </c>
      <c r="J63" s="77">
        <v>1</v>
      </c>
      <c r="K63" s="299">
        <f t="shared" si="35"/>
        <v>5</v>
      </c>
      <c r="L63" s="79">
        <v>0</v>
      </c>
      <c r="M63" s="124">
        <f>K63-L63</f>
        <v>5</v>
      </c>
      <c r="N63" s="98">
        <v>159.30555555555557</v>
      </c>
      <c r="O63" s="98">
        <v>0</v>
      </c>
      <c r="P63" s="82">
        <f>SUM(N63:O63)</f>
        <v>159.30555555555557</v>
      </c>
      <c r="Q63" s="83">
        <f>P63/20</f>
        <v>7.9652777777777786</v>
      </c>
      <c r="R63" s="84">
        <f>(P63*0.05)+P63</f>
        <v>167.27083333333334</v>
      </c>
      <c r="S63" s="83">
        <f>R63/20</f>
        <v>8.3635416666666664</v>
      </c>
      <c r="T63" s="103">
        <f>194+226</f>
        <v>420</v>
      </c>
      <c r="U63" s="85">
        <v>0</v>
      </c>
      <c r="V63" s="136">
        <f>SUM(T63:U63)</f>
        <v>420</v>
      </c>
      <c r="W63" s="78">
        <f>V63/2</f>
        <v>210</v>
      </c>
      <c r="X63" s="87">
        <f>V63/35</f>
        <v>12</v>
      </c>
      <c r="Y63" s="88">
        <f>W63/14</f>
        <v>15</v>
      </c>
      <c r="Z63" s="89">
        <f>Q63-M63</f>
        <v>2.9652777777777786</v>
      </c>
      <c r="AA63" s="89">
        <f>X63-M63</f>
        <v>7</v>
      </c>
      <c r="AB63" s="89">
        <f>Y63-M63</f>
        <v>10</v>
      </c>
      <c r="AC63" s="145">
        <v>5</v>
      </c>
      <c r="AD63" s="128" t="s">
        <v>38</v>
      </c>
      <c r="AE63" s="94" t="s">
        <v>38</v>
      </c>
      <c r="AF63" s="94" t="s">
        <v>38</v>
      </c>
      <c r="AG63" s="94" t="s">
        <v>38</v>
      </c>
      <c r="AH63" s="94" t="s">
        <v>38</v>
      </c>
      <c r="AI63" s="94" t="s">
        <v>38</v>
      </c>
      <c r="AJ63" s="147" t="s">
        <v>38</v>
      </c>
      <c r="AK63" s="147" t="s">
        <v>38</v>
      </c>
      <c r="AL63" s="147" t="s">
        <v>38</v>
      </c>
      <c r="AM63" s="147" t="s">
        <v>38</v>
      </c>
      <c r="AN63" s="147" t="s">
        <v>38</v>
      </c>
      <c r="AO63" s="146"/>
      <c r="AP63" s="63"/>
    </row>
    <row r="64" spans="1:42" ht="21.75" customHeight="1" x14ac:dyDescent="0.2">
      <c r="A64" s="309" t="s">
        <v>267</v>
      </c>
      <c r="B64" s="266" t="s">
        <v>275</v>
      </c>
      <c r="C64" s="158" t="s">
        <v>38</v>
      </c>
      <c r="D64" s="158" t="s">
        <v>38</v>
      </c>
      <c r="E64" s="158" t="s">
        <v>38</v>
      </c>
      <c r="F64" s="158">
        <v>2</v>
      </c>
      <c r="G64" s="76" t="s">
        <v>38</v>
      </c>
      <c r="H64" s="76" t="s">
        <v>38</v>
      </c>
      <c r="I64" s="76">
        <v>1</v>
      </c>
      <c r="J64" s="77">
        <v>2</v>
      </c>
      <c r="K64" s="299">
        <f t="shared" si="35"/>
        <v>5</v>
      </c>
      <c r="L64" s="164" t="s">
        <v>38</v>
      </c>
      <c r="M64" s="80">
        <v>5</v>
      </c>
      <c r="N64" s="166" t="s">
        <v>38</v>
      </c>
      <c r="O64" s="166" t="s">
        <v>38</v>
      </c>
      <c r="P64" s="167" t="s">
        <v>38</v>
      </c>
      <c r="Q64" s="168" t="s">
        <v>38</v>
      </c>
      <c r="R64" s="169" t="s">
        <v>38</v>
      </c>
      <c r="S64" s="168" t="s">
        <v>38</v>
      </c>
      <c r="T64" s="170" t="s">
        <v>38</v>
      </c>
      <c r="U64" s="96" t="s">
        <v>38</v>
      </c>
      <c r="V64" s="171" t="s">
        <v>38</v>
      </c>
      <c r="W64" s="96" t="s">
        <v>38</v>
      </c>
      <c r="X64" s="172" t="s">
        <v>38</v>
      </c>
      <c r="Y64" s="173" t="s">
        <v>38</v>
      </c>
      <c r="Z64" s="174" t="s">
        <v>38</v>
      </c>
      <c r="AA64" s="174" t="s">
        <v>38</v>
      </c>
      <c r="AB64" s="174" t="s">
        <v>38</v>
      </c>
      <c r="AC64" s="145">
        <v>5</v>
      </c>
      <c r="AD64" s="128" t="s">
        <v>38</v>
      </c>
      <c r="AE64" s="94" t="s">
        <v>38</v>
      </c>
      <c r="AF64" s="94" t="s">
        <v>38</v>
      </c>
      <c r="AG64" s="94" t="s">
        <v>38</v>
      </c>
      <c r="AH64" s="94" t="s">
        <v>38</v>
      </c>
      <c r="AI64" s="94" t="s">
        <v>38</v>
      </c>
      <c r="AJ64" s="147" t="s">
        <v>38</v>
      </c>
      <c r="AK64" s="147" t="s">
        <v>38</v>
      </c>
      <c r="AL64" s="147" t="s">
        <v>38</v>
      </c>
      <c r="AM64" s="147" t="s">
        <v>38</v>
      </c>
      <c r="AN64" s="147" t="s">
        <v>38</v>
      </c>
      <c r="AO64" s="146"/>
      <c r="AP64" s="63"/>
    </row>
    <row r="65" spans="1:42" ht="21.75" customHeight="1" x14ac:dyDescent="0.2">
      <c r="A65" s="343" t="s">
        <v>269</v>
      </c>
      <c r="B65" s="263" t="s">
        <v>118</v>
      </c>
      <c r="C65" s="158" t="s">
        <v>38</v>
      </c>
      <c r="D65" s="158" t="s">
        <v>38</v>
      </c>
      <c r="E65" s="158" t="s">
        <v>38</v>
      </c>
      <c r="F65" s="158" t="s">
        <v>38</v>
      </c>
      <c r="G65" s="76" t="s">
        <v>38</v>
      </c>
      <c r="H65" s="76" t="s">
        <v>38</v>
      </c>
      <c r="I65" s="76">
        <v>3</v>
      </c>
      <c r="J65" s="77" t="s">
        <v>38</v>
      </c>
      <c r="K65" s="299">
        <f t="shared" si="35"/>
        <v>3</v>
      </c>
      <c r="L65" s="79">
        <v>0</v>
      </c>
      <c r="M65" s="80">
        <f t="shared" si="32"/>
        <v>3</v>
      </c>
      <c r="N65" s="98">
        <v>4.25</v>
      </c>
      <c r="O65" s="98">
        <v>0</v>
      </c>
      <c r="P65" s="82">
        <f t="shared" si="36"/>
        <v>4.25</v>
      </c>
      <c r="Q65" s="83">
        <f t="shared" si="38"/>
        <v>0.21249999999999999</v>
      </c>
      <c r="R65" s="84">
        <f t="shared" si="18"/>
        <v>4.4625000000000004</v>
      </c>
      <c r="S65" s="83">
        <f t="shared" si="39"/>
        <v>0.22312500000000002</v>
      </c>
      <c r="T65" s="85">
        <v>0</v>
      </c>
      <c r="U65" s="86">
        <v>20</v>
      </c>
      <c r="V65" s="136">
        <f t="shared" si="40"/>
        <v>20</v>
      </c>
      <c r="W65" s="78">
        <f t="shared" si="12"/>
        <v>10</v>
      </c>
      <c r="X65" s="87">
        <f t="shared" si="20"/>
        <v>0.5714285714285714</v>
      </c>
      <c r="Y65" s="88">
        <f t="shared" si="13"/>
        <v>0.7142857142857143</v>
      </c>
      <c r="Z65" s="89">
        <f t="shared" si="33"/>
        <v>-2.7875000000000001</v>
      </c>
      <c r="AA65" s="89">
        <f t="shared" si="34"/>
        <v>-2.4285714285714288</v>
      </c>
      <c r="AB65" s="89">
        <f t="shared" si="28"/>
        <v>-2.2857142857142856</v>
      </c>
      <c r="AC65" s="145">
        <v>3</v>
      </c>
      <c r="AD65" s="128" t="s">
        <v>38</v>
      </c>
      <c r="AE65" s="94" t="s">
        <v>38</v>
      </c>
      <c r="AF65" s="94" t="s">
        <v>38</v>
      </c>
      <c r="AG65" s="94" t="s">
        <v>38</v>
      </c>
      <c r="AH65" s="94" t="s">
        <v>38</v>
      </c>
      <c r="AI65" s="94" t="s">
        <v>38</v>
      </c>
      <c r="AJ65" s="147" t="s">
        <v>38</v>
      </c>
      <c r="AK65" s="147" t="s">
        <v>38</v>
      </c>
      <c r="AL65" s="147" t="s">
        <v>38</v>
      </c>
      <c r="AM65" s="147" t="s">
        <v>38</v>
      </c>
      <c r="AN65" s="147" t="s">
        <v>38</v>
      </c>
      <c r="AO65" s="146"/>
      <c r="AP65" s="63"/>
    </row>
    <row r="66" spans="1:42" ht="21.75" customHeight="1" x14ac:dyDescent="0.2">
      <c r="A66" s="343"/>
      <c r="B66" s="262" t="s">
        <v>119</v>
      </c>
      <c r="C66" s="158" t="s">
        <v>38</v>
      </c>
      <c r="D66" s="158" t="s">
        <v>38</v>
      </c>
      <c r="E66" s="158" t="s">
        <v>38</v>
      </c>
      <c r="F66" s="158" t="s">
        <v>38</v>
      </c>
      <c r="G66" s="76" t="s">
        <v>38</v>
      </c>
      <c r="H66" s="76" t="s">
        <v>38</v>
      </c>
      <c r="I66" s="76" t="s">
        <v>38</v>
      </c>
      <c r="J66" s="77" t="s">
        <v>38</v>
      </c>
      <c r="K66" s="299">
        <f t="shared" si="35"/>
        <v>0</v>
      </c>
      <c r="L66" s="79">
        <v>0</v>
      </c>
      <c r="M66" s="80">
        <f t="shared" si="32"/>
        <v>0</v>
      </c>
      <c r="N66" s="98">
        <v>3.833333333333333</v>
      </c>
      <c r="O66" s="98">
        <v>0</v>
      </c>
      <c r="P66" s="82">
        <f t="shared" si="36"/>
        <v>3.833333333333333</v>
      </c>
      <c r="Q66" s="83">
        <f t="shared" si="38"/>
        <v>0.19166666666666665</v>
      </c>
      <c r="R66" s="84">
        <f t="shared" si="18"/>
        <v>4.0249999999999995</v>
      </c>
      <c r="S66" s="83">
        <f t="shared" si="39"/>
        <v>0.20124999999999998</v>
      </c>
      <c r="T66" s="85">
        <v>0</v>
      </c>
      <c r="U66" s="86">
        <v>34</v>
      </c>
      <c r="V66" s="136">
        <f t="shared" si="40"/>
        <v>34</v>
      </c>
      <c r="W66" s="78">
        <f t="shared" si="12"/>
        <v>17</v>
      </c>
      <c r="X66" s="87">
        <f t="shared" si="20"/>
        <v>0.97142857142857142</v>
      </c>
      <c r="Y66" s="88">
        <f t="shared" si="13"/>
        <v>1.2142857142857142</v>
      </c>
      <c r="Z66" s="100">
        <f t="shared" si="33"/>
        <v>0.19166666666666665</v>
      </c>
      <c r="AA66" s="100">
        <f t="shared" si="34"/>
        <v>0.97142857142857142</v>
      </c>
      <c r="AB66" s="100">
        <f t="shared" si="28"/>
        <v>1.2142857142857142</v>
      </c>
      <c r="AC66" s="145">
        <v>3</v>
      </c>
      <c r="AD66" s="128" t="s">
        <v>38</v>
      </c>
      <c r="AE66" s="94" t="s">
        <v>38</v>
      </c>
      <c r="AF66" s="94" t="s">
        <v>38</v>
      </c>
      <c r="AG66" s="94" t="s">
        <v>38</v>
      </c>
      <c r="AH66" s="94" t="s">
        <v>38</v>
      </c>
      <c r="AI66" s="94" t="s">
        <v>38</v>
      </c>
      <c r="AJ66" s="147" t="s">
        <v>38</v>
      </c>
      <c r="AK66" s="147" t="s">
        <v>38</v>
      </c>
      <c r="AL66" s="147" t="s">
        <v>38</v>
      </c>
      <c r="AM66" s="147" t="s">
        <v>38</v>
      </c>
      <c r="AN66" s="147" t="s">
        <v>38</v>
      </c>
      <c r="AO66" s="146" t="s">
        <v>138</v>
      </c>
      <c r="AP66" s="63"/>
    </row>
    <row r="67" spans="1:42" ht="21.75" customHeight="1" x14ac:dyDescent="0.2">
      <c r="A67" s="343"/>
      <c r="B67" s="263" t="s">
        <v>120</v>
      </c>
      <c r="C67" s="158" t="s">
        <v>38</v>
      </c>
      <c r="D67" s="158">
        <v>1</v>
      </c>
      <c r="E67" s="158">
        <v>2</v>
      </c>
      <c r="F67" s="158">
        <v>1</v>
      </c>
      <c r="G67" s="76" t="s">
        <v>38</v>
      </c>
      <c r="H67" s="76" t="s">
        <v>38</v>
      </c>
      <c r="I67" s="76">
        <v>1</v>
      </c>
      <c r="J67" s="77">
        <v>1</v>
      </c>
      <c r="K67" s="299">
        <f t="shared" si="35"/>
        <v>6</v>
      </c>
      <c r="L67" s="79">
        <v>0</v>
      </c>
      <c r="M67" s="80">
        <f t="shared" si="32"/>
        <v>6</v>
      </c>
      <c r="N67" s="98">
        <v>131.08333333333334</v>
      </c>
      <c r="O67" s="98">
        <v>0</v>
      </c>
      <c r="P67" s="82">
        <f t="shared" si="36"/>
        <v>131.08333333333334</v>
      </c>
      <c r="Q67" s="83">
        <f t="shared" si="38"/>
        <v>6.5541666666666671</v>
      </c>
      <c r="R67" s="84">
        <f t="shared" si="18"/>
        <v>137.63750000000002</v>
      </c>
      <c r="S67" s="83">
        <f t="shared" si="39"/>
        <v>6.8818750000000009</v>
      </c>
      <c r="T67" s="103">
        <v>149</v>
      </c>
      <c r="U67" s="85">
        <v>0</v>
      </c>
      <c r="V67" s="136">
        <f t="shared" si="40"/>
        <v>149</v>
      </c>
      <c r="W67" s="78">
        <f t="shared" si="12"/>
        <v>74.5</v>
      </c>
      <c r="X67" s="87">
        <f t="shared" si="20"/>
        <v>4.2571428571428571</v>
      </c>
      <c r="Y67" s="88">
        <f t="shared" si="13"/>
        <v>5.3214285714285712</v>
      </c>
      <c r="Z67" s="89">
        <f t="shared" si="33"/>
        <v>0.55416666666666714</v>
      </c>
      <c r="AA67" s="89">
        <f t="shared" si="34"/>
        <v>-1.7428571428571429</v>
      </c>
      <c r="AB67" s="89">
        <f t="shared" si="28"/>
        <v>-0.67857142857142883</v>
      </c>
      <c r="AC67" s="145">
        <v>5</v>
      </c>
      <c r="AD67" s="128" t="s">
        <v>38</v>
      </c>
      <c r="AE67" s="94">
        <v>1</v>
      </c>
      <c r="AF67" s="94">
        <v>1</v>
      </c>
      <c r="AG67" s="94" t="s">
        <v>38</v>
      </c>
      <c r="AH67" s="94" t="s">
        <v>38</v>
      </c>
      <c r="AI67" s="94" t="s">
        <v>38</v>
      </c>
      <c r="AJ67" s="147" t="s">
        <v>38</v>
      </c>
      <c r="AK67" s="147" t="s">
        <v>38</v>
      </c>
      <c r="AL67" s="147" t="s">
        <v>38</v>
      </c>
      <c r="AM67" s="147" t="s">
        <v>38</v>
      </c>
      <c r="AN67" s="147" t="s">
        <v>38</v>
      </c>
      <c r="AO67" s="146" t="s">
        <v>139</v>
      </c>
      <c r="AP67" s="63"/>
    </row>
    <row r="68" spans="1:42" ht="21.75" customHeight="1" x14ac:dyDescent="0.2">
      <c r="A68" s="309" t="s">
        <v>270</v>
      </c>
      <c r="B68" s="263" t="s">
        <v>27</v>
      </c>
      <c r="C68" s="158" t="s">
        <v>38</v>
      </c>
      <c r="D68" s="158">
        <v>1</v>
      </c>
      <c r="E68" s="158">
        <v>2</v>
      </c>
      <c r="F68" s="158">
        <v>1</v>
      </c>
      <c r="G68" s="301" t="s">
        <v>38</v>
      </c>
      <c r="H68" s="301" t="s">
        <v>38</v>
      </c>
      <c r="I68" s="301">
        <v>1</v>
      </c>
      <c r="J68" s="302">
        <v>3</v>
      </c>
      <c r="K68" s="299">
        <f t="shared" si="35"/>
        <v>8</v>
      </c>
      <c r="L68" s="79">
        <v>0</v>
      </c>
      <c r="M68" s="303">
        <f t="shared" si="32"/>
        <v>8</v>
      </c>
      <c r="N68" s="98">
        <v>58.194444444444443</v>
      </c>
      <c r="O68" s="98">
        <v>0</v>
      </c>
      <c r="P68" s="82">
        <f t="shared" si="36"/>
        <v>58.194444444444443</v>
      </c>
      <c r="Q68" s="83">
        <f t="shared" si="38"/>
        <v>2.9097222222222223</v>
      </c>
      <c r="R68" s="84">
        <f t="shared" si="18"/>
        <v>61.104166666666664</v>
      </c>
      <c r="S68" s="83">
        <f t="shared" si="39"/>
        <v>3.0552083333333333</v>
      </c>
      <c r="T68" s="103">
        <v>108</v>
      </c>
      <c r="U68" s="85">
        <v>0</v>
      </c>
      <c r="V68" s="136">
        <f t="shared" si="40"/>
        <v>108</v>
      </c>
      <c r="W68" s="78">
        <f t="shared" si="12"/>
        <v>54</v>
      </c>
      <c r="X68" s="87">
        <f t="shared" si="20"/>
        <v>3.0857142857142859</v>
      </c>
      <c r="Y68" s="88">
        <f t="shared" si="13"/>
        <v>3.8571428571428572</v>
      </c>
      <c r="Z68" s="89">
        <f t="shared" si="33"/>
        <v>-5.0902777777777777</v>
      </c>
      <c r="AA68" s="89">
        <f t="shared" si="34"/>
        <v>-4.9142857142857146</v>
      </c>
      <c r="AB68" s="89">
        <f t="shared" si="28"/>
        <v>-4.1428571428571423</v>
      </c>
      <c r="AC68" s="145">
        <v>5</v>
      </c>
      <c r="AD68" s="128" t="s">
        <v>38</v>
      </c>
      <c r="AE68" s="94" t="s">
        <v>38</v>
      </c>
      <c r="AF68" s="94" t="s">
        <v>38</v>
      </c>
      <c r="AG68" s="94" t="s">
        <v>38</v>
      </c>
      <c r="AH68" s="94" t="s">
        <v>38</v>
      </c>
      <c r="AI68" s="94" t="s">
        <v>38</v>
      </c>
      <c r="AJ68" s="147" t="s">
        <v>38</v>
      </c>
      <c r="AK68" s="147" t="s">
        <v>38</v>
      </c>
      <c r="AL68" s="147" t="s">
        <v>38</v>
      </c>
      <c r="AM68" s="147" t="s">
        <v>38</v>
      </c>
      <c r="AN68" s="147" t="s">
        <v>38</v>
      </c>
      <c r="AO68" s="146"/>
      <c r="AP68" s="63"/>
    </row>
    <row r="69" spans="1:42" ht="21.75" customHeight="1" x14ac:dyDescent="0.2">
      <c r="A69" s="309" t="s">
        <v>271</v>
      </c>
      <c r="B69" s="263" t="s">
        <v>355</v>
      </c>
      <c r="C69" s="158" t="s">
        <v>38</v>
      </c>
      <c r="D69" s="158" t="s">
        <v>38</v>
      </c>
      <c r="E69" s="158" t="s">
        <v>38</v>
      </c>
      <c r="F69" s="158" t="s">
        <v>38</v>
      </c>
      <c r="G69" s="76" t="s">
        <v>38</v>
      </c>
      <c r="H69" s="76" t="s">
        <v>38</v>
      </c>
      <c r="I69" s="76">
        <v>3</v>
      </c>
      <c r="J69" s="313">
        <v>3</v>
      </c>
      <c r="K69" s="299">
        <f t="shared" si="35"/>
        <v>6</v>
      </c>
      <c r="L69" s="79">
        <v>2</v>
      </c>
      <c r="M69" s="80">
        <f t="shared" si="32"/>
        <v>4</v>
      </c>
      <c r="N69" s="98">
        <v>310.67</v>
      </c>
      <c r="O69" s="98">
        <v>0</v>
      </c>
      <c r="P69" s="82">
        <f t="shared" si="36"/>
        <v>310.67</v>
      </c>
      <c r="Q69" s="83">
        <f t="shared" si="38"/>
        <v>15.5335</v>
      </c>
      <c r="R69" s="84">
        <f t="shared" si="18"/>
        <v>326.20350000000002</v>
      </c>
      <c r="S69" s="83">
        <f t="shared" si="39"/>
        <v>16.310175000000001</v>
      </c>
      <c r="T69" s="103">
        <v>261</v>
      </c>
      <c r="U69" s="85">
        <v>0</v>
      </c>
      <c r="V69" s="136">
        <f t="shared" si="40"/>
        <v>261</v>
      </c>
      <c r="W69" s="78">
        <f t="shared" si="12"/>
        <v>130.5</v>
      </c>
      <c r="X69" s="87">
        <f t="shared" si="20"/>
        <v>7.4571428571428573</v>
      </c>
      <c r="Y69" s="88">
        <f t="shared" si="13"/>
        <v>9.3214285714285712</v>
      </c>
      <c r="Z69" s="89">
        <f t="shared" si="33"/>
        <v>11.5335</v>
      </c>
      <c r="AA69" s="89">
        <f t="shared" si="34"/>
        <v>3.4571428571428573</v>
      </c>
      <c r="AB69" s="89">
        <f t="shared" si="28"/>
        <v>5.3214285714285712</v>
      </c>
      <c r="AC69" s="145">
        <v>5</v>
      </c>
      <c r="AD69" s="128" t="s">
        <v>38</v>
      </c>
      <c r="AE69" s="94" t="s">
        <v>38</v>
      </c>
      <c r="AF69" s="94" t="s">
        <v>38</v>
      </c>
      <c r="AG69" s="94" t="s">
        <v>38</v>
      </c>
      <c r="AH69" s="94" t="s">
        <v>38</v>
      </c>
      <c r="AI69" s="94" t="s">
        <v>38</v>
      </c>
      <c r="AJ69" s="147" t="s">
        <v>38</v>
      </c>
      <c r="AK69" s="147" t="s">
        <v>38</v>
      </c>
      <c r="AL69" s="147" t="s">
        <v>38</v>
      </c>
      <c r="AM69" s="147" t="s">
        <v>38</v>
      </c>
      <c r="AN69" s="147" t="s">
        <v>38</v>
      </c>
      <c r="AO69" s="146"/>
      <c r="AP69" s="63"/>
    </row>
    <row r="70" spans="1:42" ht="21.75" customHeight="1" x14ac:dyDescent="0.2">
      <c r="A70" s="309" t="s">
        <v>272</v>
      </c>
      <c r="B70" s="263" t="s">
        <v>21</v>
      </c>
      <c r="C70" s="158" t="s">
        <v>38</v>
      </c>
      <c r="D70" s="158" t="s">
        <v>38</v>
      </c>
      <c r="E70" s="158">
        <v>2</v>
      </c>
      <c r="F70" s="158">
        <v>1</v>
      </c>
      <c r="G70" s="301" t="s">
        <v>38</v>
      </c>
      <c r="H70" s="301" t="s">
        <v>38</v>
      </c>
      <c r="I70" s="301" t="s">
        <v>38</v>
      </c>
      <c r="J70" s="302">
        <v>5</v>
      </c>
      <c r="K70" s="299">
        <f t="shared" si="35"/>
        <v>8</v>
      </c>
      <c r="L70" s="305">
        <v>0</v>
      </c>
      <c r="M70" s="306">
        <f t="shared" si="32"/>
        <v>8</v>
      </c>
      <c r="N70" s="98">
        <v>183.88888888888889</v>
      </c>
      <c r="O70" s="98">
        <v>0</v>
      </c>
      <c r="P70" s="82">
        <f t="shared" si="36"/>
        <v>183.88888888888889</v>
      </c>
      <c r="Q70" s="83">
        <f>P70/30</f>
        <v>6.1296296296296298</v>
      </c>
      <c r="R70" s="84">
        <f t="shared" si="18"/>
        <v>193.08333333333334</v>
      </c>
      <c r="S70" s="83">
        <f>R70/30</f>
        <v>6.4361111111111118</v>
      </c>
      <c r="T70" s="103">
        <v>172</v>
      </c>
      <c r="U70" s="85">
        <v>0</v>
      </c>
      <c r="V70" s="136">
        <f t="shared" si="40"/>
        <v>172</v>
      </c>
      <c r="W70" s="78">
        <f t="shared" si="12"/>
        <v>86</v>
      </c>
      <c r="X70" s="87">
        <f t="shared" si="20"/>
        <v>4.9142857142857146</v>
      </c>
      <c r="Y70" s="88">
        <f t="shared" si="13"/>
        <v>6.1428571428571432</v>
      </c>
      <c r="Z70" s="89">
        <f t="shared" si="33"/>
        <v>-1.8703703703703702</v>
      </c>
      <c r="AA70" s="89">
        <f t="shared" si="34"/>
        <v>-3.0857142857142854</v>
      </c>
      <c r="AB70" s="89">
        <f t="shared" si="28"/>
        <v>-1.8571428571428568</v>
      </c>
      <c r="AC70" s="145">
        <v>5</v>
      </c>
      <c r="AD70" s="128" t="s">
        <v>38</v>
      </c>
      <c r="AE70" s="94" t="s">
        <v>38</v>
      </c>
      <c r="AF70" s="94" t="s">
        <v>38</v>
      </c>
      <c r="AG70" s="94" t="s">
        <v>38</v>
      </c>
      <c r="AH70" s="146">
        <v>1</v>
      </c>
      <c r="AI70" s="94" t="s">
        <v>38</v>
      </c>
      <c r="AJ70" s="147" t="s">
        <v>38</v>
      </c>
      <c r="AK70" s="147" t="s">
        <v>38</v>
      </c>
      <c r="AL70" s="147" t="s">
        <v>38</v>
      </c>
      <c r="AM70" s="147" t="s">
        <v>38</v>
      </c>
      <c r="AN70" s="147" t="s">
        <v>38</v>
      </c>
      <c r="AO70" s="146" t="s">
        <v>140</v>
      </c>
      <c r="AP70" s="63"/>
    </row>
    <row r="71" spans="1:42" ht="21.75" customHeight="1" x14ac:dyDescent="0.2">
      <c r="A71" s="309" t="s">
        <v>273</v>
      </c>
      <c r="B71" s="263" t="s">
        <v>27</v>
      </c>
      <c r="C71" s="158" t="s">
        <v>38</v>
      </c>
      <c r="D71" s="158" t="s">
        <v>38</v>
      </c>
      <c r="E71" s="158" t="s">
        <v>38</v>
      </c>
      <c r="F71" s="158" t="s">
        <v>38</v>
      </c>
      <c r="G71" s="301" t="s">
        <v>38</v>
      </c>
      <c r="H71" s="301" t="s">
        <v>38</v>
      </c>
      <c r="I71" s="301">
        <v>3</v>
      </c>
      <c r="J71" s="302">
        <v>4</v>
      </c>
      <c r="K71" s="299">
        <f t="shared" si="35"/>
        <v>7</v>
      </c>
      <c r="L71" s="307">
        <v>0</v>
      </c>
      <c r="M71" s="303">
        <f t="shared" si="32"/>
        <v>7</v>
      </c>
      <c r="N71" s="98">
        <v>28.694444444444443</v>
      </c>
      <c r="O71" s="98">
        <v>0</v>
      </c>
      <c r="P71" s="82">
        <f t="shared" si="36"/>
        <v>28.694444444444443</v>
      </c>
      <c r="Q71" s="83">
        <f>P71/20</f>
        <v>1.4347222222222222</v>
      </c>
      <c r="R71" s="84">
        <f t="shared" si="18"/>
        <v>30.129166666666666</v>
      </c>
      <c r="S71" s="83">
        <f>R71/20</f>
        <v>1.5064583333333332</v>
      </c>
      <c r="T71" s="103">
        <v>149</v>
      </c>
      <c r="U71" s="85">
        <v>0</v>
      </c>
      <c r="V71" s="136">
        <f t="shared" si="40"/>
        <v>149</v>
      </c>
      <c r="W71" s="78">
        <f t="shared" si="12"/>
        <v>74.5</v>
      </c>
      <c r="X71" s="87">
        <f t="shared" si="20"/>
        <v>4.2571428571428571</v>
      </c>
      <c r="Y71" s="88">
        <f t="shared" si="13"/>
        <v>5.3214285714285712</v>
      </c>
      <c r="Z71" s="89">
        <f t="shared" si="33"/>
        <v>-5.5652777777777782</v>
      </c>
      <c r="AA71" s="89">
        <f t="shared" si="34"/>
        <v>-2.7428571428571429</v>
      </c>
      <c r="AB71" s="89">
        <f t="shared" si="28"/>
        <v>-1.6785714285714288</v>
      </c>
      <c r="AC71" s="145">
        <v>5</v>
      </c>
      <c r="AD71" s="128" t="s">
        <v>38</v>
      </c>
      <c r="AE71" s="94" t="s">
        <v>38</v>
      </c>
      <c r="AF71" s="94" t="s">
        <v>38</v>
      </c>
      <c r="AG71" s="94" t="s">
        <v>38</v>
      </c>
      <c r="AH71" s="94" t="s">
        <v>38</v>
      </c>
      <c r="AI71" s="94" t="s">
        <v>38</v>
      </c>
      <c r="AJ71" s="147" t="s">
        <v>38</v>
      </c>
      <c r="AK71" s="147" t="s">
        <v>38</v>
      </c>
      <c r="AL71" s="147" t="s">
        <v>38</v>
      </c>
      <c r="AM71" s="147" t="s">
        <v>38</v>
      </c>
      <c r="AN71" s="147" t="s">
        <v>38</v>
      </c>
      <c r="AO71" s="146"/>
      <c r="AP71" s="63"/>
    </row>
    <row r="72" spans="1:42" ht="21.75" customHeight="1" x14ac:dyDescent="0.2">
      <c r="A72" s="309" t="s">
        <v>274</v>
      </c>
      <c r="B72" s="263" t="s">
        <v>27</v>
      </c>
      <c r="C72" s="158" t="s">
        <v>38</v>
      </c>
      <c r="D72" s="158" t="s">
        <v>38</v>
      </c>
      <c r="E72" s="158">
        <v>1</v>
      </c>
      <c r="F72" s="158" t="s">
        <v>38</v>
      </c>
      <c r="G72" s="76" t="s">
        <v>38</v>
      </c>
      <c r="H72" s="76" t="s">
        <v>38</v>
      </c>
      <c r="I72" s="76">
        <v>2</v>
      </c>
      <c r="J72" s="77">
        <v>2</v>
      </c>
      <c r="K72" s="299">
        <f t="shared" si="35"/>
        <v>5</v>
      </c>
      <c r="L72" s="79">
        <v>0</v>
      </c>
      <c r="M72" s="124">
        <f t="shared" si="32"/>
        <v>5</v>
      </c>
      <c r="N72" s="81">
        <v>50.833333333333336</v>
      </c>
      <c r="O72" s="81">
        <v>0</v>
      </c>
      <c r="P72" s="82">
        <f t="shared" si="36"/>
        <v>50.833333333333336</v>
      </c>
      <c r="Q72" s="83">
        <f>P72/20</f>
        <v>2.541666666666667</v>
      </c>
      <c r="R72" s="84">
        <f t="shared" si="18"/>
        <v>53.375</v>
      </c>
      <c r="S72" s="83">
        <f>R72/20</f>
        <v>2.6687500000000002</v>
      </c>
      <c r="T72" s="125">
        <v>114</v>
      </c>
      <c r="U72" s="85">
        <v>0</v>
      </c>
      <c r="V72" s="136">
        <f t="shared" si="40"/>
        <v>114</v>
      </c>
      <c r="W72" s="78">
        <f t="shared" si="12"/>
        <v>57</v>
      </c>
      <c r="X72" s="87">
        <f t="shared" si="20"/>
        <v>3.2571428571428571</v>
      </c>
      <c r="Y72" s="88">
        <f t="shared" si="13"/>
        <v>4.0714285714285712</v>
      </c>
      <c r="Z72" s="89">
        <f t="shared" si="33"/>
        <v>-2.458333333333333</v>
      </c>
      <c r="AA72" s="89">
        <f t="shared" si="34"/>
        <v>-1.7428571428571429</v>
      </c>
      <c r="AB72" s="89">
        <f t="shared" si="28"/>
        <v>-0.92857142857142883</v>
      </c>
      <c r="AC72" s="145">
        <v>5</v>
      </c>
      <c r="AD72" s="128" t="s">
        <v>38</v>
      </c>
      <c r="AE72" s="94" t="s">
        <v>38</v>
      </c>
      <c r="AF72" s="94" t="s">
        <v>38</v>
      </c>
      <c r="AG72" s="94" t="s">
        <v>38</v>
      </c>
      <c r="AH72" s="94" t="s">
        <v>38</v>
      </c>
      <c r="AI72" s="94" t="s">
        <v>38</v>
      </c>
      <c r="AJ72" s="147" t="s">
        <v>38</v>
      </c>
      <c r="AK72" s="147" t="s">
        <v>38</v>
      </c>
      <c r="AL72" s="147" t="s">
        <v>38</v>
      </c>
      <c r="AM72" s="147" t="s">
        <v>38</v>
      </c>
      <c r="AN72" s="147" t="s">
        <v>38</v>
      </c>
      <c r="AO72" s="146"/>
      <c r="AP72" s="63"/>
    </row>
    <row r="73" spans="1:42" s="18" customFormat="1" ht="21.75" customHeight="1" x14ac:dyDescent="0.55000000000000004">
      <c r="A73" s="176" t="s">
        <v>85</v>
      </c>
      <c r="B73" s="267"/>
      <c r="C73" s="149">
        <f t="shared" ref="C73:Q73" si="41">SUM(C74:C89)</f>
        <v>0</v>
      </c>
      <c r="D73" s="149">
        <f t="shared" si="41"/>
        <v>6</v>
      </c>
      <c r="E73" s="149">
        <f t="shared" si="41"/>
        <v>12</v>
      </c>
      <c r="F73" s="149">
        <f t="shared" si="41"/>
        <v>15</v>
      </c>
      <c r="G73" s="149">
        <f t="shared" si="41"/>
        <v>0</v>
      </c>
      <c r="H73" s="149">
        <f t="shared" si="41"/>
        <v>1</v>
      </c>
      <c r="I73" s="149">
        <f t="shared" si="41"/>
        <v>17</v>
      </c>
      <c r="J73" s="149">
        <f t="shared" si="41"/>
        <v>45</v>
      </c>
      <c r="K73" s="299">
        <f t="shared" si="35"/>
        <v>96</v>
      </c>
      <c r="L73" s="149">
        <f t="shared" si="41"/>
        <v>1</v>
      </c>
      <c r="M73" s="149">
        <f t="shared" si="41"/>
        <v>95</v>
      </c>
      <c r="N73" s="149">
        <f t="shared" si="41"/>
        <v>2642.9455555555555</v>
      </c>
      <c r="O73" s="149">
        <f t="shared" si="41"/>
        <v>44.555999999999941</v>
      </c>
      <c r="P73" s="67">
        <f t="shared" si="41"/>
        <v>2687.5015555555556</v>
      </c>
      <c r="Q73" s="66">
        <f t="shared" si="41"/>
        <v>107.50006222222223</v>
      </c>
      <c r="R73" s="152">
        <f t="shared" si="18"/>
        <v>2821.8766333333333</v>
      </c>
      <c r="S73" s="66">
        <f>SUM(S74:S89)</f>
        <v>112.87506533333334</v>
      </c>
      <c r="T73" s="256">
        <f>SUM(T74:T89)</f>
        <v>2738</v>
      </c>
      <c r="U73" s="256">
        <f>SUM(U74:U89)</f>
        <v>55</v>
      </c>
      <c r="V73" s="257">
        <f t="shared" si="40"/>
        <v>2793</v>
      </c>
      <c r="W73" s="256">
        <f t="shared" si="12"/>
        <v>1396.5</v>
      </c>
      <c r="X73" s="65">
        <f>SUM(X74:X89)</f>
        <v>79.8</v>
      </c>
      <c r="Y73" s="155">
        <f t="shared" si="13"/>
        <v>99.75</v>
      </c>
      <c r="Z73" s="69">
        <f>SUM(Z74:Z89)</f>
        <v>12.500062222222226</v>
      </c>
      <c r="AA73" s="69">
        <f>SUM(AA74:AA89)</f>
        <v>-15.2</v>
      </c>
      <c r="AB73" s="69">
        <f t="shared" si="28"/>
        <v>4.75</v>
      </c>
      <c r="AC73" s="66">
        <f>SUM(AC74:AC89)</f>
        <v>74</v>
      </c>
      <c r="AD73" s="65">
        <v>0</v>
      </c>
      <c r="AE73" s="150">
        <f t="shared" ref="AE73:AN73" si="42">SUM(AE74:AE89)</f>
        <v>4</v>
      </c>
      <c r="AF73" s="150">
        <f t="shared" si="42"/>
        <v>0</v>
      </c>
      <c r="AG73" s="150">
        <f t="shared" si="42"/>
        <v>2</v>
      </c>
      <c r="AH73" s="150">
        <f t="shared" si="42"/>
        <v>0</v>
      </c>
      <c r="AI73" s="150">
        <f t="shared" si="42"/>
        <v>2</v>
      </c>
      <c r="AJ73" s="65">
        <f t="shared" si="42"/>
        <v>0</v>
      </c>
      <c r="AK73" s="65">
        <f t="shared" si="42"/>
        <v>0</v>
      </c>
      <c r="AL73" s="65">
        <f t="shared" si="42"/>
        <v>0</v>
      </c>
      <c r="AM73" s="65">
        <f t="shared" si="42"/>
        <v>0</v>
      </c>
      <c r="AN73" s="65">
        <f t="shared" si="42"/>
        <v>0</v>
      </c>
      <c r="AO73" s="156"/>
      <c r="AP73" s="72"/>
    </row>
    <row r="74" spans="1:42" ht="21.75" customHeight="1" x14ac:dyDescent="0.55000000000000004">
      <c r="A74" s="177" t="s">
        <v>86</v>
      </c>
      <c r="B74" s="268" t="s">
        <v>33</v>
      </c>
      <c r="C74" s="158" t="s">
        <v>38</v>
      </c>
      <c r="D74" s="75">
        <v>1</v>
      </c>
      <c r="E74" s="75">
        <v>2</v>
      </c>
      <c r="F74" s="75">
        <v>1</v>
      </c>
      <c r="G74" s="76" t="s">
        <v>38</v>
      </c>
      <c r="H74" s="76" t="s">
        <v>38</v>
      </c>
      <c r="I74" s="76">
        <v>3</v>
      </c>
      <c r="J74" s="77">
        <v>4</v>
      </c>
      <c r="K74" s="299">
        <f t="shared" si="35"/>
        <v>11</v>
      </c>
      <c r="L74" s="79">
        <v>0</v>
      </c>
      <c r="M74" s="218">
        <f>K74-L74</f>
        <v>11</v>
      </c>
      <c r="N74" s="81">
        <v>308.33</v>
      </c>
      <c r="O74" s="81">
        <v>0</v>
      </c>
      <c r="P74" s="82">
        <f>SUM(N74:O74)</f>
        <v>308.33</v>
      </c>
      <c r="Q74" s="83">
        <f t="shared" ref="Q74:Q89" si="43">P74/25</f>
        <v>12.3332</v>
      </c>
      <c r="R74" s="84">
        <f t="shared" si="18"/>
        <v>323.74649999999997</v>
      </c>
      <c r="S74" s="83">
        <f t="shared" ref="S74:S89" si="44">R74/25</f>
        <v>12.949859999999999</v>
      </c>
      <c r="T74" s="125">
        <v>318</v>
      </c>
      <c r="U74" s="85">
        <v>0</v>
      </c>
      <c r="V74" s="136">
        <f t="shared" si="40"/>
        <v>318</v>
      </c>
      <c r="W74" s="78">
        <f t="shared" ref="W74:W107" si="45">V74/2</f>
        <v>159</v>
      </c>
      <c r="X74" s="87">
        <f t="shared" ref="X74:X107" si="46">V74/35</f>
        <v>9.0857142857142854</v>
      </c>
      <c r="Y74" s="88">
        <f t="shared" ref="Y74:Y107" si="47">W74/14</f>
        <v>11.357142857142858</v>
      </c>
      <c r="Z74" s="89">
        <f t="shared" ref="Z74:Z99" si="48">Q74-M74</f>
        <v>1.3331999999999997</v>
      </c>
      <c r="AA74" s="89">
        <f t="shared" ref="AA74:AA99" si="49">X74-M74</f>
        <v>-1.9142857142857146</v>
      </c>
      <c r="AB74" s="89">
        <f t="shared" si="28"/>
        <v>0.35714285714285765</v>
      </c>
      <c r="AC74" s="145">
        <v>5</v>
      </c>
      <c r="AD74" s="128" t="s">
        <v>38</v>
      </c>
      <c r="AE74" s="94" t="s">
        <v>38</v>
      </c>
      <c r="AF74" s="94" t="s">
        <v>38</v>
      </c>
      <c r="AG74" s="94" t="s">
        <v>38</v>
      </c>
      <c r="AH74" s="94" t="s">
        <v>38</v>
      </c>
      <c r="AI74" s="146">
        <v>1</v>
      </c>
      <c r="AJ74" s="147" t="s">
        <v>38</v>
      </c>
      <c r="AK74" s="147" t="s">
        <v>38</v>
      </c>
      <c r="AL74" s="147" t="s">
        <v>38</v>
      </c>
      <c r="AM74" s="147" t="s">
        <v>38</v>
      </c>
      <c r="AN74" s="147" t="s">
        <v>38</v>
      </c>
      <c r="AO74" s="146" t="s">
        <v>140</v>
      </c>
      <c r="AP74" s="63"/>
    </row>
    <row r="75" spans="1:42" ht="21.75" customHeight="1" x14ac:dyDescent="0.55000000000000004">
      <c r="A75" s="177" t="s">
        <v>87</v>
      </c>
      <c r="B75" s="268" t="s">
        <v>31</v>
      </c>
      <c r="C75" s="158" t="s">
        <v>38</v>
      </c>
      <c r="D75" s="75" t="s">
        <v>38</v>
      </c>
      <c r="E75" s="75">
        <v>2</v>
      </c>
      <c r="F75" s="75">
        <v>3</v>
      </c>
      <c r="G75" s="76" t="s">
        <v>38</v>
      </c>
      <c r="H75" s="76" t="s">
        <v>38</v>
      </c>
      <c r="I75" s="76">
        <v>1</v>
      </c>
      <c r="J75" s="77">
        <v>3</v>
      </c>
      <c r="K75" s="299">
        <f t="shared" si="35"/>
        <v>9</v>
      </c>
      <c r="L75" s="79">
        <v>0</v>
      </c>
      <c r="M75" s="218">
        <f t="shared" ref="M75:M89" si="50">K75-L75</f>
        <v>9</v>
      </c>
      <c r="N75" s="98">
        <v>232.28</v>
      </c>
      <c r="O75" s="81">
        <v>0</v>
      </c>
      <c r="P75" s="82">
        <f>SUM(N75:O75)</f>
        <v>232.28</v>
      </c>
      <c r="Q75" s="83">
        <f t="shared" si="43"/>
        <v>9.2911999999999999</v>
      </c>
      <c r="R75" s="84">
        <f t="shared" si="18"/>
        <v>243.89400000000001</v>
      </c>
      <c r="S75" s="83">
        <f t="shared" si="44"/>
        <v>9.7557600000000004</v>
      </c>
      <c r="T75" s="125">
        <v>193</v>
      </c>
      <c r="U75" s="85">
        <v>0</v>
      </c>
      <c r="V75" s="136">
        <f t="shared" si="40"/>
        <v>193</v>
      </c>
      <c r="W75" s="78">
        <f t="shared" si="45"/>
        <v>96.5</v>
      </c>
      <c r="X75" s="87">
        <f t="shared" si="46"/>
        <v>5.5142857142857142</v>
      </c>
      <c r="Y75" s="88">
        <f t="shared" si="47"/>
        <v>6.8928571428571432</v>
      </c>
      <c r="Z75" s="89">
        <f t="shared" si="48"/>
        <v>0.2911999999999999</v>
      </c>
      <c r="AA75" s="89">
        <f t="shared" si="49"/>
        <v>-3.4857142857142858</v>
      </c>
      <c r="AB75" s="89">
        <f t="shared" si="28"/>
        <v>-2.1071428571428568</v>
      </c>
      <c r="AC75" s="145">
        <v>5</v>
      </c>
      <c r="AD75" s="128" t="s">
        <v>38</v>
      </c>
      <c r="AE75" s="94" t="s">
        <v>38</v>
      </c>
      <c r="AF75" s="94" t="s">
        <v>38</v>
      </c>
      <c r="AG75" s="94" t="s">
        <v>38</v>
      </c>
      <c r="AH75" s="94" t="s">
        <v>38</v>
      </c>
      <c r="AI75" s="146">
        <v>1</v>
      </c>
      <c r="AJ75" s="147" t="s">
        <v>38</v>
      </c>
      <c r="AK75" s="147" t="s">
        <v>38</v>
      </c>
      <c r="AL75" s="147" t="s">
        <v>38</v>
      </c>
      <c r="AM75" s="147" t="s">
        <v>38</v>
      </c>
      <c r="AN75" s="147" t="s">
        <v>38</v>
      </c>
      <c r="AO75" s="146" t="s">
        <v>140</v>
      </c>
      <c r="AP75" s="63"/>
    </row>
    <row r="76" spans="1:42" ht="21.75" customHeight="1" x14ac:dyDescent="0.55000000000000004">
      <c r="A76" s="177" t="s">
        <v>226</v>
      </c>
      <c r="B76" s="268" t="s">
        <v>31</v>
      </c>
      <c r="C76" s="158" t="s">
        <v>38</v>
      </c>
      <c r="D76" s="75" t="s">
        <v>38</v>
      </c>
      <c r="E76" s="75">
        <v>1</v>
      </c>
      <c r="F76" s="75">
        <v>1</v>
      </c>
      <c r="G76" s="76" t="s">
        <v>38</v>
      </c>
      <c r="H76" s="76" t="s">
        <v>38</v>
      </c>
      <c r="I76" s="76" t="s">
        <v>38</v>
      </c>
      <c r="J76" s="77">
        <v>4</v>
      </c>
      <c r="K76" s="299">
        <f t="shared" si="35"/>
        <v>6</v>
      </c>
      <c r="L76" s="79">
        <v>0</v>
      </c>
      <c r="M76" s="218">
        <f t="shared" si="50"/>
        <v>6</v>
      </c>
      <c r="N76" s="98">
        <v>213.11</v>
      </c>
      <c r="O76" s="81">
        <v>0</v>
      </c>
      <c r="P76" s="82">
        <f>SUM(N76:O76)</f>
        <v>213.11</v>
      </c>
      <c r="Q76" s="83">
        <f t="shared" si="43"/>
        <v>8.5244</v>
      </c>
      <c r="R76" s="84">
        <f t="shared" si="18"/>
        <v>223.7655</v>
      </c>
      <c r="S76" s="83">
        <f t="shared" si="44"/>
        <v>8.9506200000000007</v>
      </c>
      <c r="T76" s="125">
        <v>154</v>
      </c>
      <c r="U76" s="85">
        <v>0</v>
      </c>
      <c r="V76" s="136">
        <f t="shared" si="40"/>
        <v>154</v>
      </c>
      <c r="W76" s="78">
        <f t="shared" si="45"/>
        <v>77</v>
      </c>
      <c r="X76" s="87">
        <f t="shared" si="46"/>
        <v>4.4000000000000004</v>
      </c>
      <c r="Y76" s="88">
        <f t="shared" si="47"/>
        <v>5.5</v>
      </c>
      <c r="Z76" s="89">
        <f t="shared" si="48"/>
        <v>2.5244</v>
      </c>
      <c r="AA76" s="89">
        <f t="shared" si="49"/>
        <v>-1.5999999999999996</v>
      </c>
      <c r="AB76" s="89">
        <f t="shared" si="28"/>
        <v>-0.5</v>
      </c>
      <c r="AC76" s="145">
        <v>5</v>
      </c>
      <c r="AD76" s="128" t="s">
        <v>38</v>
      </c>
      <c r="AE76" s="94" t="s">
        <v>38</v>
      </c>
      <c r="AF76" s="94" t="s">
        <v>38</v>
      </c>
      <c r="AG76" s="94" t="s">
        <v>38</v>
      </c>
      <c r="AH76" s="94" t="s">
        <v>38</v>
      </c>
      <c r="AI76" s="94" t="s">
        <v>38</v>
      </c>
      <c r="AJ76" s="147" t="s">
        <v>38</v>
      </c>
      <c r="AK76" s="147" t="s">
        <v>38</v>
      </c>
      <c r="AL76" s="147" t="s">
        <v>38</v>
      </c>
      <c r="AM76" s="147" t="s">
        <v>38</v>
      </c>
      <c r="AN76" s="147" t="s">
        <v>38</v>
      </c>
      <c r="AO76" s="146"/>
      <c r="AP76" s="63"/>
    </row>
    <row r="77" spans="1:42" ht="21.75" customHeight="1" x14ac:dyDescent="0.45">
      <c r="A77" s="344" t="s">
        <v>89</v>
      </c>
      <c r="B77" s="268" t="s">
        <v>39</v>
      </c>
      <c r="C77" s="158" t="s">
        <v>38</v>
      </c>
      <c r="D77" s="75" t="s">
        <v>38</v>
      </c>
      <c r="E77" s="75" t="s">
        <v>38</v>
      </c>
      <c r="F77" s="75">
        <v>0</v>
      </c>
      <c r="G77" s="76" t="s">
        <v>38</v>
      </c>
      <c r="H77" s="76" t="s">
        <v>38</v>
      </c>
      <c r="I77" s="76">
        <v>0</v>
      </c>
      <c r="J77" s="77" t="s">
        <v>38</v>
      </c>
      <c r="K77" s="299">
        <f t="shared" si="35"/>
        <v>0</v>
      </c>
      <c r="L77" s="79">
        <v>0</v>
      </c>
      <c r="M77" s="218">
        <f t="shared" si="50"/>
        <v>0</v>
      </c>
      <c r="N77" s="98">
        <v>0</v>
      </c>
      <c r="O77" s="81">
        <f>8.92*1.8</f>
        <v>16.056000000000001</v>
      </c>
      <c r="P77" s="82">
        <f>SUM(N77:O77)</f>
        <v>16.056000000000001</v>
      </c>
      <c r="Q77" s="83">
        <f t="shared" si="43"/>
        <v>0.64224000000000003</v>
      </c>
      <c r="R77" s="84">
        <f t="shared" si="18"/>
        <v>16.858800000000002</v>
      </c>
      <c r="S77" s="83">
        <f t="shared" si="44"/>
        <v>0.67435200000000006</v>
      </c>
      <c r="T77" s="96">
        <v>0</v>
      </c>
      <c r="U77" s="179">
        <v>19</v>
      </c>
      <c r="V77" s="136">
        <f t="shared" si="40"/>
        <v>19</v>
      </c>
      <c r="W77" s="78">
        <f t="shared" si="45"/>
        <v>9.5</v>
      </c>
      <c r="X77" s="87">
        <f t="shared" si="46"/>
        <v>0.54285714285714282</v>
      </c>
      <c r="Y77" s="88">
        <f t="shared" si="47"/>
        <v>0.6785714285714286</v>
      </c>
      <c r="Z77" s="89">
        <f t="shared" si="48"/>
        <v>0.64224000000000003</v>
      </c>
      <c r="AA77" s="89">
        <f t="shared" si="49"/>
        <v>0.54285714285714282</v>
      </c>
      <c r="AB77" s="89">
        <f t="shared" si="28"/>
        <v>0.6785714285714286</v>
      </c>
      <c r="AC77" s="145">
        <v>3</v>
      </c>
      <c r="AD77" s="128" t="s">
        <v>38</v>
      </c>
      <c r="AE77" s="94" t="s">
        <v>38</v>
      </c>
      <c r="AF77" s="94" t="s">
        <v>38</v>
      </c>
      <c r="AG77" s="94" t="s">
        <v>38</v>
      </c>
      <c r="AH77" s="94" t="s">
        <v>38</v>
      </c>
      <c r="AI77" s="94" t="s">
        <v>38</v>
      </c>
      <c r="AJ77" s="147" t="s">
        <v>38</v>
      </c>
      <c r="AK77" s="147" t="s">
        <v>38</v>
      </c>
      <c r="AL77" s="147" t="s">
        <v>38</v>
      </c>
      <c r="AM77" s="147" t="s">
        <v>38</v>
      </c>
      <c r="AN77" s="147" t="s">
        <v>38</v>
      </c>
      <c r="AO77" s="146"/>
      <c r="AP77" s="63"/>
    </row>
    <row r="78" spans="1:42" ht="21.75" customHeight="1" x14ac:dyDescent="0.45">
      <c r="A78" s="344"/>
      <c r="B78" s="269" t="s">
        <v>32</v>
      </c>
      <c r="C78" s="75" t="s">
        <v>38</v>
      </c>
      <c r="D78" s="75" t="s">
        <v>38</v>
      </c>
      <c r="E78" s="75" t="s">
        <v>38</v>
      </c>
      <c r="F78" s="75" t="s">
        <v>38</v>
      </c>
      <c r="G78" s="76" t="s">
        <v>38</v>
      </c>
      <c r="H78" s="76" t="s">
        <v>38</v>
      </c>
      <c r="I78" s="76" t="s">
        <v>38</v>
      </c>
      <c r="J78" s="77" t="s">
        <v>38</v>
      </c>
      <c r="K78" s="299">
        <f t="shared" si="35"/>
        <v>0</v>
      </c>
      <c r="L78" s="79">
        <v>0</v>
      </c>
      <c r="M78" s="218">
        <f t="shared" si="50"/>
        <v>0</v>
      </c>
      <c r="N78" s="181">
        <v>0</v>
      </c>
      <c r="O78" s="98">
        <f>15.8333333333333*1.8</f>
        <v>28.49999999999994</v>
      </c>
      <c r="P78" s="82">
        <f>SUM(O78:O78)</f>
        <v>28.49999999999994</v>
      </c>
      <c r="Q78" s="83">
        <f t="shared" si="43"/>
        <v>1.1399999999999977</v>
      </c>
      <c r="R78" s="84">
        <f t="shared" si="18"/>
        <v>29.924999999999937</v>
      </c>
      <c r="S78" s="83">
        <f t="shared" si="44"/>
        <v>1.1969999999999974</v>
      </c>
      <c r="T78" s="85">
        <v>0</v>
      </c>
      <c r="U78" s="86">
        <v>36</v>
      </c>
      <c r="V78" s="136">
        <f t="shared" si="40"/>
        <v>36</v>
      </c>
      <c r="W78" s="78">
        <f t="shared" si="45"/>
        <v>18</v>
      </c>
      <c r="X78" s="87">
        <f t="shared" si="46"/>
        <v>1.0285714285714285</v>
      </c>
      <c r="Y78" s="88">
        <f t="shared" si="47"/>
        <v>1.2857142857142858</v>
      </c>
      <c r="Z78" s="100">
        <f t="shared" si="48"/>
        <v>1.1399999999999977</v>
      </c>
      <c r="AA78" s="100">
        <f t="shared" si="49"/>
        <v>1.0285714285714285</v>
      </c>
      <c r="AB78" s="100">
        <f t="shared" si="28"/>
        <v>1.2857142857142858</v>
      </c>
      <c r="AC78" s="145">
        <v>3</v>
      </c>
      <c r="AD78" s="128" t="s">
        <v>38</v>
      </c>
      <c r="AE78" s="94" t="s">
        <v>38</v>
      </c>
      <c r="AF78" s="94" t="s">
        <v>38</v>
      </c>
      <c r="AG78" s="94" t="s">
        <v>38</v>
      </c>
      <c r="AH78" s="94" t="s">
        <v>38</v>
      </c>
      <c r="AI78" s="94" t="s">
        <v>38</v>
      </c>
      <c r="AJ78" s="147" t="s">
        <v>38</v>
      </c>
      <c r="AK78" s="147" t="s">
        <v>38</v>
      </c>
      <c r="AL78" s="147" t="s">
        <v>38</v>
      </c>
      <c r="AM78" s="147" t="s">
        <v>38</v>
      </c>
      <c r="AN78" s="147" t="s">
        <v>38</v>
      </c>
      <c r="AO78" s="146" t="s">
        <v>138</v>
      </c>
      <c r="AP78" s="63"/>
    </row>
    <row r="79" spans="1:42" ht="21.75" customHeight="1" x14ac:dyDescent="0.55000000000000004">
      <c r="A79" s="344"/>
      <c r="B79" s="268" t="s">
        <v>356</v>
      </c>
      <c r="C79" s="75" t="s">
        <v>38</v>
      </c>
      <c r="D79" s="75" t="s">
        <v>38</v>
      </c>
      <c r="E79" s="75">
        <v>1</v>
      </c>
      <c r="F79" s="75">
        <v>1</v>
      </c>
      <c r="G79" s="76" t="s">
        <v>38</v>
      </c>
      <c r="H79" s="76" t="s">
        <v>38</v>
      </c>
      <c r="I79" s="312">
        <v>5</v>
      </c>
      <c r="J79" s="313">
        <v>5</v>
      </c>
      <c r="K79" s="299">
        <f t="shared" si="35"/>
        <v>12</v>
      </c>
      <c r="L79" s="79">
        <v>1</v>
      </c>
      <c r="M79" s="218">
        <f t="shared" si="50"/>
        <v>11</v>
      </c>
      <c r="N79" s="98">
        <v>427.13888888888891</v>
      </c>
      <c r="O79" s="81">
        <v>0</v>
      </c>
      <c r="P79" s="82">
        <f t="shared" ref="P79:P89" si="51">SUM(N79:O79)</f>
        <v>427.13888888888891</v>
      </c>
      <c r="Q79" s="83">
        <f t="shared" si="43"/>
        <v>17.085555555555558</v>
      </c>
      <c r="R79" s="84">
        <f t="shared" si="18"/>
        <v>448.49583333333334</v>
      </c>
      <c r="S79" s="83">
        <f t="shared" si="44"/>
        <v>17.939833333333333</v>
      </c>
      <c r="T79" s="85">
        <f>437+117</f>
        <v>554</v>
      </c>
      <c r="U79" s="125">
        <v>0</v>
      </c>
      <c r="V79" s="136">
        <f t="shared" si="40"/>
        <v>554</v>
      </c>
      <c r="W79" s="78">
        <f t="shared" si="45"/>
        <v>277</v>
      </c>
      <c r="X79" s="87">
        <f t="shared" si="46"/>
        <v>15.828571428571429</v>
      </c>
      <c r="Y79" s="88">
        <f t="shared" si="47"/>
        <v>19.785714285714285</v>
      </c>
      <c r="Z79" s="89">
        <f t="shared" si="48"/>
        <v>6.0855555555555583</v>
      </c>
      <c r="AA79" s="89">
        <f t="shared" si="49"/>
        <v>4.8285714285714292</v>
      </c>
      <c r="AB79" s="89">
        <f t="shared" si="28"/>
        <v>8.7857142857142847</v>
      </c>
      <c r="AC79" s="145">
        <v>5</v>
      </c>
      <c r="AD79" s="128" t="s">
        <v>38</v>
      </c>
      <c r="AE79" s="94">
        <v>2</v>
      </c>
      <c r="AF79" s="94" t="s">
        <v>38</v>
      </c>
      <c r="AG79" s="94" t="s">
        <v>38</v>
      </c>
      <c r="AH79" s="94" t="s">
        <v>38</v>
      </c>
      <c r="AI79" s="94" t="s">
        <v>38</v>
      </c>
      <c r="AJ79" s="147" t="s">
        <v>38</v>
      </c>
      <c r="AK79" s="147" t="s">
        <v>38</v>
      </c>
      <c r="AL79" s="147" t="s">
        <v>38</v>
      </c>
      <c r="AM79" s="147" t="s">
        <v>38</v>
      </c>
      <c r="AN79" s="147" t="s">
        <v>38</v>
      </c>
      <c r="AO79" s="94" t="s">
        <v>132</v>
      </c>
      <c r="AP79" s="63"/>
    </row>
    <row r="80" spans="1:42" ht="21.75" customHeight="1" x14ac:dyDescent="0.45">
      <c r="A80" s="344"/>
      <c r="B80" s="268" t="s">
        <v>258</v>
      </c>
      <c r="C80" s="75" t="s">
        <v>38</v>
      </c>
      <c r="D80" s="75" t="s">
        <v>38</v>
      </c>
      <c r="E80" s="75" t="s">
        <v>38</v>
      </c>
      <c r="F80" s="75" t="s">
        <v>38</v>
      </c>
      <c r="G80" s="76" t="s">
        <v>38</v>
      </c>
      <c r="H80" s="76" t="s">
        <v>38</v>
      </c>
      <c r="I80" s="76">
        <v>1</v>
      </c>
      <c r="J80" s="77">
        <v>2</v>
      </c>
      <c r="K80" s="299">
        <f t="shared" si="35"/>
        <v>3</v>
      </c>
      <c r="L80" s="79">
        <v>0</v>
      </c>
      <c r="M80" s="218">
        <f t="shared" si="50"/>
        <v>3</v>
      </c>
      <c r="N80" s="98">
        <v>246.91666666666666</v>
      </c>
      <c r="O80" s="81">
        <v>0</v>
      </c>
      <c r="P80" s="82">
        <f t="shared" si="51"/>
        <v>246.91666666666666</v>
      </c>
      <c r="Q80" s="83">
        <f t="shared" si="43"/>
        <v>9.8766666666666669</v>
      </c>
      <c r="R80" s="84">
        <f t="shared" si="18"/>
        <v>259.26249999999999</v>
      </c>
      <c r="S80" s="83">
        <f t="shared" si="44"/>
        <v>10.3705</v>
      </c>
      <c r="T80" s="125">
        <v>115</v>
      </c>
      <c r="U80" s="85">
        <v>0</v>
      </c>
      <c r="V80" s="136">
        <f t="shared" si="40"/>
        <v>115</v>
      </c>
      <c r="W80" s="78">
        <f t="shared" si="45"/>
        <v>57.5</v>
      </c>
      <c r="X80" s="87">
        <f t="shared" si="46"/>
        <v>3.2857142857142856</v>
      </c>
      <c r="Y80" s="88">
        <f t="shared" si="47"/>
        <v>4.1071428571428568</v>
      </c>
      <c r="Z80" s="89">
        <f t="shared" si="48"/>
        <v>6.8766666666666669</v>
      </c>
      <c r="AA80" s="89">
        <f t="shared" si="49"/>
        <v>0.28571428571428559</v>
      </c>
      <c r="AB80" s="89">
        <f t="shared" si="28"/>
        <v>1.1071428571428568</v>
      </c>
      <c r="AC80" s="145">
        <v>5</v>
      </c>
      <c r="AD80" s="128" t="s">
        <v>38</v>
      </c>
      <c r="AE80" s="94" t="s">
        <v>38</v>
      </c>
      <c r="AF80" s="94" t="s">
        <v>38</v>
      </c>
      <c r="AG80" s="94" t="s">
        <v>38</v>
      </c>
      <c r="AH80" s="94" t="s">
        <v>38</v>
      </c>
      <c r="AI80" s="94" t="s">
        <v>38</v>
      </c>
      <c r="AJ80" s="147" t="s">
        <v>38</v>
      </c>
      <c r="AK80" s="147" t="s">
        <v>38</v>
      </c>
      <c r="AL80" s="147" t="s">
        <v>38</v>
      </c>
      <c r="AM80" s="147" t="s">
        <v>38</v>
      </c>
      <c r="AN80" s="147" t="s">
        <v>38</v>
      </c>
      <c r="AO80" s="146" t="s">
        <v>134</v>
      </c>
      <c r="AP80" s="63"/>
    </row>
    <row r="81" spans="1:42" ht="21.75" customHeight="1" x14ac:dyDescent="0.45">
      <c r="A81" s="344"/>
      <c r="B81" s="268" t="s">
        <v>259</v>
      </c>
      <c r="C81" s="75" t="s">
        <v>38</v>
      </c>
      <c r="D81" s="75" t="s">
        <v>38</v>
      </c>
      <c r="E81" s="75" t="s">
        <v>38</v>
      </c>
      <c r="F81" s="75">
        <v>1</v>
      </c>
      <c r="G81" s="76" t="s">
        <v>38</v>
      </c>
      <c r="H81" s="76" t="s">
        <v>38</v>
      </c>
      <c r="I81" s="76">
        <v>2</v>
      </c>
      <c r="J81" s="77">
        <v>2</v>
      </c>
      <c r="K81" s="299">
        <f t="shared" si="35"/>
        <v>5</v>
      </c>
      <c r="L81" s="79">
        <v>0</v>
      </c>
      <c r="M81" s="218">
        <f t="shared" si="50"/>
        <v>5</v>
      </c>
      <c r="N81" s="81">
        <v>19.472222222222221</v>
      </c>
      <c r="O81" s="81">
        <v>0</v>
      </c>
      <c r="P81" s="82">
        <f t="shared" si="51"/>
        <v>19.472222222222221</v>
      </c>
      <c r="Q81" s="83">
        <f t="shared" si="43"/>
        <v>0.77888888888888885</v>
      </c>
      <c r="R81" s="84">
        <f t="shared" si="18"/>
        <v>20.445833333333333</v>
      </c>
      <c r="S81" s="83">
        <f t="shared" si="44"/>
        <v>0.8178333333333333</v>
      </c>
      <c r="T81" s="125">
        <v>115</v>
      </c>
      <c r="U81" s="85">
        <v>0</v>
      </c>
      <c r="V81" s="136">
        <f t="shared" si="40"/>
        <v>115</v>
      </c>
      <c r="W81" s="78">
        <f t="shared" si="45"/>
        <v>57.5</v>
      </c>
      <c r="X81" s="87">
        <f t="shared" si="46"/>
        <v>3.2857142857142856</v>
      </c>
      <c r="Y81" s="88">
        <f t="shared" si="47"/>
        <v>4.1071428571428568</v>
      </c>
      <c r="Z81" s="89">
        <f t="shared" si="48"/>
        <v>-4.221111111111111</v>
      </c>
      <c r="AA81" s="89">
        <f t="shared" si="49"/>
        <v>-1.7142857142857144</v>
      </c>
      <c r="AB81" s="89">
        <f t="shared" si="28"/>
        <v>-0.89285714285714324</v>
      </c>
      <c r="AC81" s="145">
        <v>5</v>
      </c>
      <c r="AD81" s="128" t="s">
        <v>38</v>
      </c>
      <c r="AE81" s="94">
        <v>1</v>
      </c>
      <c r="AF81" s="94" t="s">
        <v>38</v>
      </c>
      <c r="AG81" s="94" t="s">
        <v>38</v>
      </c>
      <c r="AH81" s="94" t="s">
        <v>38</v>
      </c>
      <c r="AI81" s="94" t="s">
        <v>38</v>
      </c>
      <c r="AJ81" s="147" t="s">
        <v>38</v>
      </c>
      <c r="AK81" s="147" t="s">
        <v>38</v>
      </c>
      <c r="AL81" s="147" t="s">
        <v>38</v>
      </c>
      <c r="AM81" s="147" t="s">
        <v>38</v>
      </c>
      <c r="AN81" s="147" t="s">
        <v>38</v>
      </c>
      <c r="AO81" s="146" t="s">
        <v>140</v>
      </c>
      <c r="AP81" s="63"/>
    </row>
    <row r="82" spans="1:42" ht="21.75" customHeight="1" x14ac:dyDescent="0.55000000000000004">
      <c r="A82" s="177" t="s">
        <v>90</v>
      </c>
      <c r="B82" s="268" t="s">
        <v>31</v>
      </c>
      <c r="C82" s="158" t="s">
        <v>38</v>
      </c>
      <c r="D82" s="75">
        <v>2</v>
      </c>
      <c r="E82" s="75">
        <v>2</v>
      </c>
      <c r="F82" s="75">
        <v>3</v>
      </c>
      <c r="G82" s="76" t="s">
        <v>38</v>
      </c>
      <c r="H82" s="76" t="s">
        <v>38</v>
      </c>
      <c r="I82" s="76">
        <v>1</v>
      </c>
      <c r="J82" s="77">
        <v>2</v>
      </c>
      <c r="K82" s="299">
        <f t="shared" si="35"/>
        <v>10</v>
      </c>
      <c r="L82" s="79">
        <v>0</v>
      </c>
      <c r="M82" s="218">
        <f t="shared" si="50"/>
        <v>10</v>
      </c>
      <c r="N82" s="81">
        <v>319.22000000000003</v>
      </c>
      <c r="O82" s="81">
        <v>0</v>
      </c>
      <c r="P82" s="82">
        <f t="shared" si="51"/>
        <v>319.22000000000003</v>
      </c>
      <c r="Q82" s="83">
        <f t="shared" si="43"/>
        <v>12.768800000000001</v>
      </c>
      <c r="R82" s="84">
        <f t="shared" si="18"/>
        <v>335.18100000000004</v>
      </c>
      <c r="S82" s="83">
        <f t="shared" si="44"/>
        <v>13.407240000000002</v>
      </c>
      <c r="T82" s="125">
        <v>250</v>
      </c>
      <c r="U82" s="85">
        <v>0</v>
      </c>
      <c r="V82" s="136">
        <f t="shared" si="40"/>
        <v>250</v>
      </c>
      <c r="W82" s="78">
        <f t="shared" si="45"/>
        <v>125</v>
      </c>
      <c r="X82" s="87">
        <f t="shared" si="46"/>
        <v>7.1428571428571432</v>
      </c>
      <c r="Y82" s="88">
        <f t="shared" si="47"/>
        <v>8.9285714285714288</v>
      </c>
      <c r="Z82" s="89">
        <f t="shared" si="48"/>
        <v>2.7688000000000006</v>
      </c>
      <c r="AA82" s="89">
        <f t="shared" si="49"/>
        <v>-2.8571428571428568</v>
      </c>
      <c r="AB82" s="89">
        <f t="shared" si="28"/>
        <v>-1.0714285714285712</v>
      </c>
      <c r="AC82" s="145">
        <v>5</v>
      </c>
      <c r="AD82" s="128" t="s">
        <v>38</v>
      </c>
      <c r="AE82" s="94" t="s">
        <v>38</v>
      </c>
      <c r="AF82" s="94" t="s">
        <v>38</v>
      </c>
      <c r="AG82" s="94">
        <v>2</v>
      </c>
      <c r="AH82" s="94" t="s">
        <v>38</v>
      </c>
      <c r="AI82" s="94" t="s">
        <v>38</v>
      </c>
      <c r="AJ82" s="147" t="s">
        <v>38</v>
      </c>
      <c r="AK82" s="147" t="s">
        <v>38</v>
      </c>
      <c r="AL82" s="147" t="s">
        <v>38</v>
      </c>
      <c r="AM82" s="147" t="s">
        <v>38</v>
      </c>
      <c r="AN82" s="147" t="s">
        <v>38</v>
      </c>
      <c r="AO82" s="146" t="s">
        <v>137</v>
      </c>
      <c r="AP82" s="63"/>
    </row>
    <row r="83" spans="1:42" ht="21.75" customHeight="1" x14ac:dyDescent="0.55000000000000004">
      <c r="A83" s="177" t="s">
        <v>91</v>
      </c>
      <c r="B83" s="268" t="s">
        <v>31</v>
      </c>
      <c r="C83" s="158" t="s">
        <v>38</v>
      </c>
      <c r="D83" s="75" t="s">
        <v>38</v>
      </c>
      <c r="E83" s="75" t="s">
        <v>38</v>
      </c>
      <c r="F83" s="75">
        <v>2</v>
      </c>
      <c r="G83" s="76" t="s">
        <v>38</v>
      </c>
      <c r="H83" s="76" t="s">
        <v>38</v>
      </c>
      <c r="I83" s="76">
        <v>2</v>
      </c>
      <c r="J83" s="77">
        <v>6</v>
      </c>
      <c r="K83" s="299">
        <f t="shared" si="35"/>
        <v>10</v>
      </c>
      <c r="L83" s="79">
        <v>0</v>
      </c>
      <c r="M83" s="218">
        <f t="shared" si="50"/>
        <v>10</v>
      </c>
      <c r="N83" s="81">
        <v>204.64</v>
      </c>
      <c r="O83" s="81">
        <v>0</v>
      </c>
      <c r="P83" s="82">
        <f t="shared" si="51"/>
        <v>204.64</v>
      </c>
      <c r="Q83" s="83">
        <f t="shared" si="43"/>
        <v>8.1855999999999991</v>
      </c>
      <c r="R83" s="84">
        <f t="shared" si="18"/>
        <v>214.87199999999999</v>
      </c>
      <c r="S83" s="83">
        <f t="shared" si="44"/>
        <v>8.5948799999999999</v>
      </c>
      <c r="T83" s="125">
        <v>361</v>
      </c>
      <c r="U83" s="85">
        <v>0</v>
      </c>
      <c r="V83" s="136">
        <f t="shared" si="40"/>
        <v>361</v>
      </c>
      <c r="W83" s="78">
        <f t="shared" si="45"/>
        <v>180.5</v>
      </c>
      <c r="X83" s="87">
        <f t="shared" si="46"/>
        <v>10.314285714285715</v>
      </c>
      <c r="Y83" s="88">
        <f t="shared" si="47"/>
        <v>12.892857142857142</v>
      </c>
      <c r="Z83" s="89">
        <f t="shared" si="48"/>
        <v>-1.8144000000000009</v>
      </c>
      <c r="AA83" s="89">
        <f t="shared" si="49"/>
        <v>0.31428571428571495</v>
      </c>
      <c r="AB83" s="89">
        <f t="shared" si="28"/>
        <v>2.8928571428571423</v>
      </c>
      <c r="AC83" s="145">
        <v>5</v>
      </c>
      <c r="AD83" s="128" t="s">
        <v>38</v>
      </c>
      <c r="AE83" s="94" t="s">
        <v>38</v>
      </c>
      <c r="AF83" s="94" t="s">
        <v>38</v>
      </c>
      <c r="AG83" s="94" t="s">
        <v>38</v>
      </c>
      <c r="AH83" s="94" t="s">
        <v>38</v>
      </c>
      <c r="AI83" s="94" t="s">
        <v>38</v>
      </c>
      <c r="AJ83" s="147" t="s">
        <v>38</v>
      </c>
      <c r="AK83" s="147" t="s">
        <v>38</v>
      </c>
      <c r="AL83" s="147" t="s">
        <v>38</v>
      </c>
      <c r="AM83" s="147" t="s">
        <v>38</v>
      </c>
      <c r="AN83" s="147" t="s">
        <v>38</v>
      </c>
      <c r="AO83" s="146"/>
      <c r="AP83" s="63"/>
    </row>
    <row r="84" spans="1:42" ht="21.75" customHeight="1" x14ac:dyDescent="0.45">
      <c r="A84" s="345" t="s">
        <v>253</v>
      </c>
      <c r="B84" s="270" t="s">
        <v>251</v>
      </c>
      <c r="C84" s="158">
        <v>0</v>
      </c>
      <c r="D84" s="75">
        <v>0</v>
      </c>
      <c r="E84" s="75">
        <v>0</v>
      </c>
      <c r="F84" s="75">
        <v>0</v>
      </c>
      <c r="G84" s="76">
        <v>0</v>
      </c>
      <c r="H84" s="76">
        <v>0</v>
      </c>
      <c r="I84" s="76">
        <v>0</v>
      </c>
      <c r="J84" s="77">
        <v>0</v>
      </c>
      <c r="K84" s="299">
        <f t="shared" si="35"/>
        <v>0</v>
      </c>
      <c r="L84" s="79">
        <v>0</v>
      </c>
      <c r="M84" s="218">
        <f>K84-L84</f>
        <v>0</v>
      </c>
      <c r="N84" s="81">
        <v>0</v>
      </c>
      <c r="O84" s="81">
        <v>0</v>
      </c>
      <c r="P84" s="82">
        <f>SUM(N84:O84)</f>
        <v>0</v>
      </c>
      <c r="Q84" s="83">
        <f>P84/25</f>
        <v>0</v>
      </c>
      <c r="R84" s="84">
        <f>(P84*0.05)+P84</f>
        <v>0</v>
      </c>
      <c r="S84" s="83">
        <f>R84/25</f>
        <v>0</v>
      </c>
      <c r="T84" s="125">
        <v>0</v>
      </c>
      <c r="U84" s="85">
        <v>0</v>
      </c>
      <c r="V84" s="136">
        <f>SUM(T84:U84)</f>
        <v>0</v>
      </c>
      <c r="W84" s="78">
        <f>V84/2</f>
        <v>0</v>
      </c>
      <c r="X84" s="87">
        <f>V84/35</f>
        <v>0</v>
      </c>
      <c r="Y84" s="88">
        <f>W84/14</f>
        <v>0</v>
      </c>
      <c r="Z84" s="89">
        <f>Q84-M84</f>
        <v>0</v>
      </c>
      <c r="AA84" s="89">
        <f>X84-M84</f>
        <v>0</v>
      </c>
      <c r="AB84" s="89">
        <f>Y84-M84</f>
        <v>0</v>
      </c>
      <c r="AC84" s="145">
        <v>3</v>
      </c>
      <c r="AD84" s="128" t="s">
        <v>38</v>
      </c>
      <c r="AE84" s="220">
        <v>0</v>
      </c>
      <c r="AF84" s="220">
        <v>0</v>
      </c>
      <c r="AG84" s="220">
        <v>0</v>
      </c>
      <c r="AH84" s="220">
        <v>0</v>
      </c>
      <c r="AI84" s="220">
        <v>0</v>
      </c>
      <c r="AJ84" s="234">
        <v>0</v>
      </c>
      <c r="AK84" s="234">
        <v>0</v>
      </c>
      <c r="AL84" s="234">
        <v>0</v>
      </c>
      <c r="AM84" s="234">
        <v>0</v>
      </c>
      <c r="AN84" s="234">
        <v>0</v>
      </c>
      <c r="AO84" s="146"/>
      <c r="AP84" s="63"/>
    </row>
    <row r="85" spans="1:42" ht="21.75" customHeight="1" x14ac:dyDescent="0.45">
      <c r="A85" s="346"/>
      <c r="B85" s="270" t="s">
        <v>252</v>
      </c>
      <c r="C85" s="158">
        <v>0</v>
      </c>
      <c r="D85" s="75">
        <v>0</v>
      </c>
      <c r="E85" s="75">
        <v>0</v>
      </c>
      <c r="F85" s="75">
        <v>0</v>
      </c>
      <c r="G85" s="76">
        <v>0</v>
      </c>
      <c r="H85" s="76">
        <v>0</v>
      </c>
      <c r="I85" s="76">
        <v>1</v>
      </c>
      <c r="J85" s="77">
        <v>4</v>
      </c>
      <c r="K85" s="299">
        <f t="shared" si="35"/>
        <v>5</v>
      </c>
      <c r="L85" s="79">
        <v>0</v>
      </c>
      <c r="M85" s="218">
        <f>K85-L85</f>
        <v>5</v>
      </c>
      <c r="N85" s="81">
        <v>0</v>
      </c>
      <c r="O85" s="81">
        <v>0</v>
      </c>
      <c r="P85" s="82">
        <f>SUM(N85:O85)</f>
        <v>0</v>
      </c>
      <c r="Q85" s="83">
        <f>P85/25</f>
        <v>0</v>
      </c>
      <c r="R85" s="84">
        <f>(P85*0.05)+P85</f>
        <v>0</v>
      </c>
      <c r="S85" s="83">
        <f>R85/25</f>
        <v>0</v>
      </c>
      <c r="T85" s="125">
        <v>0</v>
      </c>
      <c r="U85" s="85">
        <v>0</v>
      </c>
      <c r="V85" s="136">
        <f>SUM(T85:U85)</f>
        <v>0</v>
      </c>
      <c r="W85" s="78">
        <f>V85/2</f>
        <v>0</v>
      </c>
      <c r="X85" s="87">
        <f>V85/35</f>
        <v>0</v>
      </c>
      <c r="Y85" s="88">
        <f>W85/14</f>
        <v>0</v>
      </c>
      <c r="Z85" s="89">
        <f>Q85-M85</f>
        <v>-5</v>
      </c>
      <c r="AA85" s="89">
        <f>X85-M85</f>
        <v>-5</v>
      </c>
      <c r="AB85" s="89">
        <f>Y85-M85</f>
        <v>-5</v>
      </c>
      <c r="AC85" s="145">
        <v>5</v>
      </c>
      <c r="AD85" s="128" t="s">
        <v>38</v>
      </c>
      <c r="AE85" s="220">
        <v>0</v>
      </c>
      <c r="AF85" s="220">
        <v>0</v>
      </c>
      <c r="AG85" s="220">
        <v>0</v>
      </c>
      <c r="AH85" s="220">
        <v>0</v>
      </c>
      <c r="AI85" s="220">
        <v>0</v>
      </c>
      <c r="AJ85" s="234">
        <v>0</v>
      </c>
      <c r="AK85" s="234">
        <v>0</v>
      </c>
      <c r="AL85" s="234">
        <v>0</v>
      </c>
      <c r="AM85" s="234">
        <v>0</v>
      </c>
      <c r="AN85" s="234">
        <v>0</v>
      </c>
      <c r="AO85" s="146"/>
      <c r="AP85" s="63"/>
    </row>
    <row r="86" spans="1:42" ht="21.75" customHeight="1" x14ac:dyDescent="0.55000000000000004">
      <c r="A86" s="177" t="s">
        <v>254</v>
      </c>
      <c r="B86" s="268" t="s">
        <v>31</v>
      </c>
      <c r="C86" s="158" t="s">
        <v>38</v>
      </c>
      <c r="D86" s="75" t="s">
        <v>38</v>
      </c>
      <c r="E86" s="75">
        <v>1</v>
      </c>
      <c r="F86" s="75" t="s">
        <v>38</v>
      </c>
      <c r="G86" s="76" t="s">
        <v>38</v>
      </c>
      <c r="H86" s="76" t="s">
        <v>38</v>
      </c>
      <c r="I86" s="76" t="s">
        <v>38</v>
      </c>
      <c r="J86" s="77">
        <v>4</v>
      </c>
      <c r="K86" s="299">
        <f t="shared" si="35"/>
        <v>5</v>
      </c>
      <c r="L86" s="79">
        <v>0</v>
      </c>
      <c r="M86" s="218">
        <f t="shared" si="50"/>
        <v>5</v>
      </c>
      <c r="N86" s="81">
        <v>149.56</v>
      </c>
      <c r="O86" s="81">
        <v>0</v>
      </c>
      <c r="P86" s="82">
        <f t="shared" si="51"/>
        <v>149.56</v>
      </c>
      <c r="Q86" s="83">
        <f t="shared" si="43"/>
        <v>5.9824000000000002</v>
      </c>
      <c r="R86" s="84">
        <f t="shared" ref="R86:R105" si="52">(P86*0.05)+P86</f>
        <v>157.03800000000001</v>
      </c>
      <c r="S86" s="83">
        <f t="shared" si="44"/>
        <v>6.2815200000000004</v>
      </c>
      <c r="T86" s="125">
        <v>115</v>
      </c>
      <c r="U86" s="85">
        <v>0</v>
      </c>
      <c r="V86" s="136">
        <f t="shared" si="40"/>
        <v>115</v>
      </c>
      <c r="W86" s="78">
        <f t="shared" si="45"/>
        <v>57.5</v>
      </c>
      <c r="X86" s="87">
        <f t="shared" si="46"/>
        <v>3.2857142857142856</v>
      </c>
      <c r="Y86" s="88">
        <f t="shared" si="47"/>
        <v>4.1071428571428568</v>
      </c>
      <c r="Z86" s="89">
        <f t="shared" si="48"/>
        <v>0.98240000000000016</v>
      </c>
      <c r="AA86" s="89">
        <f t="shared" si="49"/>
        <v>-1.7142857142857144</v>
      </c>
      <c r="AB86" s="89">
        <f t="shared" si="28"/>
        <v>-0.89285714285714324</v>
      </c>
      <c r="AC86" s="145">
        <v>5</v>
      </c>
      <c r="AD86" s="128" t="s">
        <v>38</v>
      </c>
      <c r="AE86" s="94" t="s">
        <v>38</v>
      </c>
      <c r="AF86" s="94" t="s">
        <v>38</v>
      </c>
      <c r="AG86" s="94" t="s">
        <v>38</v>
      </c>
      <c r="AH86" s="94" t="s">
        <v>38</v>
      </c>
      <c r="AI86" s="94" t="s">
        <v>38</v>
      </c>
      <c r="AJ86" s="147" t="s">
        <v>38</v>
      </c>
      <c r="AK86" s="147" t="s">
        <v>38</v>
      </c>
      <c r="AL86" s="147" t="s">
        <v>38</v>
      </c>
      <c r="AM86" s="147" t="s">
        <v>38</v>
      </c>
      <c r="AN86" s="147" t="s">
        <v>38</v>
      </c>
      <c r="AO86" s="146"/>
      <c r="AP86" s="63"/>
    </row>
    <row r="87" spans="1:42" ht="21.75" customHeight="1" x14ac:dyDescent="0.55000000000000004">
      <c r="A87" s="177" t="s">
        <v>255</v>
      </c>
      <c r="B87" s="268" t="s">
        <v>30</v>
      </c>
      <c r="C87" s="158" t="s">
        <v>38</v>
      </c>
      <c r="D87" s="75">
        <v>3</v>
      </c>
      <c r="E87" s="75" t="s">
        <v>38</v>
      </c>
      <c r="F87" s="75">
        <v>1</v>
      </c>
      <c r="G87" s="76" t="s">
        <v>38</v>
      </c>
      <c r="H87" s="76">
        <v>1</v>
      </c>
      <c r="I87" s="76">
        <v>1</v>
      </c>
      <c r="J87" s="77">
        <v>2</v>
      </c>
      <c r="K87" s="299">
        <f t="shared" si="35"/>
        <v>8</v>
      </c>
      <c r="L87" s="79">
        <v>0</v>
      </c>
      <c r="M87" s="218">
        <f t="shared" si="50"/>
        <v>8</v>
      </c>
      <c r="N87" s="81">
        <v>54.694444444444443</v>
      </c>
      <c r="O87" s="81">
        <v>0</v>
      </c>
      <c r="P87" s="82">
        <f t="shared" si="51"/>
        <v>54.694444444444443</v>
      </c>
      <c r="Q87" s="83">
        <f t="shared" si="43"/>
        <v>2.1877777777777778</v>
      </c>
      <c r="R87" s="84">
        <f t="shared" si="52"/>
        <v>57.429166666666667</v>
      </c>
      <c r="S87" s="83">
        <f t="shared" si="44"/>
        <v>2.2971666666666666</v>
      </c>
      <c r="T87" s="125">
        <v>203</v>
      </c>
      <c r="U87" s="85">
        <v>0</v>
      </c>
      <c r="V87" s="136">
        <f t="shared" si="40"/>
        <v>203</v>
      </c>
      <c r="W87" s="78">
        <f t="shared" si="45"/>
        <v>101.5</v>
      </c>
      <c r="X87" s="87">
        <f t="shared" si="46"/>
        <v>5.8</v>
      </c>
      <c r="Y87" s="88">
        <f t="shared" si="47"/>
        <v>7.25</v>
      </c>
      <c r="Z87" s="89">
        <f t="shared" si="48"/>
        <v>-5.8122222222222222</v>
      </c>
      <c r="AA87" s="89">
        <f t="shared" si="49"/>
        <v>-2.2000000000000002</v>
      </c>
      <c r="AB87" s="89">
        <f t="shared" si="28"/>
        <v>-0.75</v>
      </c>
      <c r="AC87" s="145">
        <v>5</v>
      </c>
      <c r="AD87" s="128" t="s">
        <v>38</v>
      </c>
      <c r="AE87" s="94">
        <v>1</v>
      </c>
      <c r="AF87" s="94" t="s">
        <v>38</v>
      </c>
      <c r="AG87" s="94" t="s">
        <v>38</v>
      </c>
      <c r="AH87" s="94" t="s">
        <v>38</v>
      </c>
      <c r="AI87" s="94" t="s">
        <v>38</v>
      </c>
      <c r="AJ87" s="147" t="s">
        <v>38</v>
      </c>
      <c r="AK87" s="147" t="s">
        <v>38</v>
      </c>
      <c r="AL87" s="147" t="s">
        <v>38</v>
      </c>
      <c r="AM87" s="147" t="s">
        <v>38</v>
      </c>
      <c r="AN87" s="147" t="s">
        <v>38</v>
      </c>
      <c r="AO87" s="146"/>
      <c r="AP87" s="63"/>
    </row>
    <row r="88" spans="1:42" ht="21.75" customHeight="1" x14ac:dyDescent="0.45">
      <c r="A88" s="344" t="s">
        <v>256</v>
      </c>
      <c r="B88" s="268" t="s">
        <v>260</v>
      </c>
      <c r="C88" s="158" t="s">
        <v>38</v>
      </c>
      <c r="D88" s="75" t="s">
        <v>38</v>
      </c>
      <c r="E88" s="75">
        <v>1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4</v>
      </c>
      <c r="K88" s="299">
        <f t="shared" si="35"/>
        <v>6</v>
      </c>
      <c r="L88" s="79">
        <v>0</v>
      </c>
      <c r="M88" s="218">
        <f t="shared" si="50"/>
        <v>6</v>
      </c>
      <c r="N88" s="81">
        <v>273.38888888888903</v>
      </c>
      <c r="O88" s="81">
        <v>0</v>
      </c>
      <c r="P88" s="82">
        <f t="shared" si="51"/>
        <v>273.38888888888903</v>
      </c>
      <c r="Q88" s="83">
        <f t="shared" si="43"/>
        <v>10.935555555555561</v>
      </c>
      <c r="R88" s="84">
        <f t="shared" si="52"/>
        <v>287.05833333333351</v>
      </c>
      <c r="S88" s="83">
        <f t="shared" si="44"/>
        <v>11.48233333333334</v>
      </c>
      <c r="T88" s="125">
        <v>176</v>
      </c>
      <c r="U88" s="85">
        <v>0</v>
      </c>
      <c r="V88" s="136">
        <f t="shared" si="40"/>
        <v>176</v>
      </c>
      <c r="W88" s="78">
        <f t="shared" si="45"/>
        <v>88</v>
      </c>
      <c r="X88" s="87">
        <f t="shared" si="46"/>
        <v>5.0285714285714285</v>
      </c>
      <c r="Y88" s="88">
        <f t="shared" si="47"/>
        <v>6.2857142857142856</v>
      </c>
      <c r="Z88" s="89">
        <f t="shared" si="48"/>
        <v>4.9355555555555615</v>
      </c>
      <c r="AA88" s="89">
        <f t="shared" si="49"/>
        <v>-0.97142857142857153</v>
      </c>
      <c r="AB88" s="89">
        <f t="shared" si="28"/>
        <v>0.28571428571428559</v>
      </c>
      <c r="AC88" s="145">
        <v>5</v>
      </c>
      <c r="AD88" s="128" t="s">
        <v>38</v>
      </c>
      <c r="AE88" s="94" t="s">
        <v>38</v>
      </c>
      <c r="AF88" s="94" t="s">
        <v>38</v>
      </c>
      <c r="AG88" s="94" t="s">
        <v>38</v>
      </c>
      <c r="AH88" s="94" t="s">
        <v>38</v>
      </c>
      <c r="AI88" s="94" t="s">
        <v>38</v>
      </c>
      <c r="AJ88" s="147" t="s">
        <v>38</v>
      </c>
      <c r="AK88" s="147" t="s">
        <v>38</v>
      </c>
      <c r="AL88" s="147" t="s">
        <v>38</v>
      </c>
      <c r="AM88" s="147" t="s">
        <v>38</v>
      </c>
      <c r="AN88" s="147" t="s">
        <v>38</v>
      </c>
      <c r="AO88" s="146"/>
      <c r="AP88" s="63"/>
    </row>
    <row r="89" spans="1:42" ht="21.75" customHeight="1" x14ac:dyDescent="0.45">
      <c r="A89" s="344"/>
      <c r="B89" s="268" t="s">
        <v>261</v>
      </c>
      <c r="C89" s="158" t="s">
        <v>38</v>
      </c>
      <c r="D89" s="75" t="s">
        <v>38</v>
      </c>
      <c r="E89" s="75">
        <v>2</v>
      </c>
      <c r="F89" s="75">
        <v>1</v>
      </c>
      <c r="G89" s="76" t="s">
        <v>38</v>
      </c>
      <c r="H89" s="76" t="s">
        <v>38</v>
      </c>
      <c r="I89" s="76" t="s">
        <v>38</v>
      </c>
      <c r="J89" s="77">
        <v>3</v>
      </c>
      <c r="K89" s="299">
        <f t="shared" si="35"/>
        <v>6</v>
      </c>
      <c r="L89" s="79">
        <v>0</v>
      </c>
      <c r="M89" s="218">
        <f t="shared" si="50"/>
        <v>6</v>
      </c>
      <c r="N89" s="81">
        <v>194.19444444444446</v>
      </c>
      <c r="O89" s="81">
        <v>0</v>
      </c>
      <c r="P89" s="82">
        <f t="shared" si="51"/>
        <v>194.19444444444446</v>
      </c>
      <c r="Q89" s="83">
        <f t="shared" si="43"/>
        <v>7.7677777777777779</v>
      </c>
      <c r="R89" s="84">
        <f t="shared" si="52"/>
        <v>203.90416666666667</v>
      </c>
      <c r="S89" s="83">
        <f t="shared" si="44"/>
        <v>8.1561666666666675</v>
      </c>
      <c r="T89" s="125">
        <f>90+94</f>
        <v>184</v>
      </c>
      <c r="U89" s="85">
        <v>0</v>
      </c>
      <c r="V89" s="136">
        <f t="shared" si="40"/>
        <v>184</v>
      </c>
      <c r="W89" s="78">
        <f t="shared" si="45"/>
        <v>92</v>
      </c>
      <c r="X89" s="87">
        <f t="shared" si="46"/>
        <v>5.2571428571428571</v>
      </c>
      <c r="Y89" s="88">
        <f t="shared" si="47"/>
        <v>6.5714285714285712</v>
      </c>
      <c r="Z89" s="89">
        <f t="shared" si="48"/>
        <v>1.7677777777777779</v>
      </c>
      <c r="AA89" s="89">
        <f t="shared" si="49"/>
        <v>-0.74285714285714288</v>
      </c>
      <c r="AB89" s="89">
        <f t="shared" si="28"/>
        <v>0.57142857142857117</v>
      </c>
      <c r="AC89" s="145">
        <v>5</v>
      </c>
      <c r="AD89" s="128" t="s">
        <v>38</v>
      </c>
      <c r="AE89" s="94" t="s">
        <v>38</v>
      </c>
      <c r="AF89" s="94" t="s">
        <v>38</v>
      </c>
      <c r="AG89" s="94" t="s">
        <v>38</v>
      </c>
      <c r="AH89" s="94" t="s">
        <v>38</v>
      </c>
      <c r="AI89" s="94" t="s">
        <v>38</v>
      </c>
      <c r="AJ89" s="147" t="s">
        <v>38</v>
      </c>
      <c r="AK89" s="147" t="s">
        <v>38</v>
      </c>
      <c r="AL89" s="147" t="s">
        <v>38</v>
      </c>
      <c r="AM89" s="147" t="s">
        <v>38</v>
      </c>
      <c r="AN89" s="147" t="s">
        <v>38</v>
      </c>
      <c r="AO89" s="146"/>
      <c r="AP89" s="63"/>
    </row>
    <row r="90" spans="1:42" s="18" customFormat="1" ht="21.75" customHeight="1" x14ac:dyDescent="0.55000000000000004">
      <c r="A90" s="183" t="s">
        <v>95</v>
      </c>
      <c r="B90" s="271"/>
      <c r="C90" s="149">
        <f>SUM(C91:C99)</f>
        <v>0</v>
      </c>
      <c r="D90" s="149">
        <f t="shared" ref="D90:L90" si="53">SUM(D91:D99)</f>
        <v>0</v>
      </c>
      <c r="E90" s="149">
        <f t="shared" si="53"/>
        <v>5</v>
      </c>
      <c r="F90" s="149">
        <f>SUM(F91:F99)</f>
        <v>6</v>
      </c>
      <c r="G90" s="149">
        <f t="shared" si="53"/>
        <v>0</v>
      </c>
      <c r="H90" s="149">
        <f t="shared" si="53"/>
        <v>0</v>
      </c>
      <c r="I90" s="149">
        <f t="shared" si="53"/>
        <v>16</v>
      </c>
      <c r="J90" s="149">
        <f t="shared" si="53"/>
        <v>31</v>
      </c>
      <c r="K90" s="299">
        <f t="shared" si="35"/>
        <v>58</v>
      </c>
      <c r="L90" s="150">
        <f t="shared" si="53"/>
        <v>4</v>
      </c>
      <c r="M90" s="150">
        <f>SUM(M91:M99)</f>
        <v>54</v>
      </c>
      <c r="N90" s="150">
        <f t="shared" ref="N90:AM90" si="54">SUM(N91:N99)</f>
        <v>350.05555555555554</v>
      </c>
      <c r="O90" s="150">
        <f t="shared" si="54"/>
        <v>0</v>
      </c>
      <c r="P90" s="150">
        <f t="shared" si="54"/>
        <v>350.05555555555554</v>
      </c>
      <c r="Q90" s="150">
        <f t="shared" si="54"/>
        <v>20.731944444444444</v>
      </c>
      <c r="R90" s="150">
        <f t="shared" si="54"/>
        <v>402.55833333333334</v>
      </c>
      <c r="S90" s="150">
        <f t="shared" si="54"/>
        <v>23.518541666666664</v>
      </c>
      <c r="T90" s="252">
        <f t="shared" si="54"/>
        <v>1626</v>
      </c>
      <c r="U90" s="252">
        <f t="shared" si="54"/>
        <v>0</v>
      </c>
      <c r="V90" s="252">
        <f t="shared" si="54"/>
        <v>1626</v>
      </c>
      <c r="W90" s="252">
        <f t="shared" si="54"/>
        <v>813</v>
      </c>
      <c r="X90" s="150">
        <f t="shared" si="54"/>
        <v>46.457142857142856</v>
      </c>
      <c r="Y90" s="150">
        <f t="shared" si="54"/>
        <v>58.071428571428569</v>
      </c>
      <c r="Z90" s="151">
        <f t="shared" si="54"/>
        <v>-33.268055555555556</v>
      </c>
      <c r="AA90" s="151">
        <f t="shared" si="54"/>
        <v>-7.5428571428571427</v>
      </c>
      <c r="AB90" s="150">
        <f t="shared" si="54"/>
        <v>4.071428571428573</v>
      </c>
      <c r="AC90" s="150">
        <f t="shared" si="54"/>
        <v>45</v>
      </c>
      <c r="AD90" s="150">
        <f t="shared" si="54"/>
        <v>0</v>
      </c>
      <c r="AE90" s="150">
        <f t="shared" si="54"/>
        <v>0</v>
      </c>
      <c r="AF90" s="150">
        <f t="shared" si="54"/>
        <v>0</v>
      </c>
      <c r="AG90" s="150">
        <f t="shared" si="54"/>
        <v>0</v>
      </c>
      <c r="AH90" s="150">
        <f t="shared" si="54"/>
        <v>0</v>
      </c>
      <c r="AI90" s="150">
        <f t="shared" si="54"/>
        <v>0</v>
      </c>
      <c r="AJ90" s="150">
        <f t="shared" si="54"/>
        <v>0</v>
      </c>
      <c r="AK90" s="150">
        <f t="shared" si="54"/>
        <v>0</v>
      </c>
      <c r="AL90" s="150">
        <f t="shared" si="54"/>
        <v>0</v>
      </c>
      <c r="AM90" s="150">
        <f t="shared" si="54"/>
        <v>0</v>
      </c>
      <c r="AN90" s="155">
        <v>0</v>
      </c>
      <c r="AO90" s="156"/>
      <c r="AP90" s="72"/>
    </row>
    <row r="91" spans="1:42" ht="21.75" customHeight="1" x14ac:dyDescent="0.55000000000000004">
      <c r="A91" s="177" t="s">
        <v>216</v>
      </c>
      <c r="B91" s="268" t="s">
        <v>34</v>
      </c>
      <c r="C91" s="158" t="s">
        <v>38</v>
      </c>
      <c r="D91" s="75" t="s">
        <v>38</v>
      </c>
      <c r="E91" s="75" t="s">
        <v>38</v>
      </c>
      <c r="F91" s="75">
        <v>1</v>
      </c>
      <c r="G91" s="76" t="s">
        <v>38</v>
      </c>
      <c r="H91" s="76" t="s">
        <v>38</v>
      </c>
      <c r="I91" s="76">
        <v>2</v>
      </c>
      <c r="J91" s="77">
        <v>4</v>
      </c>
      <c r="K91" s="299">
        <f t="shared" si="35"/>
        <v>7</v>
      </c>
      <c r="L91" s="79">
        <v>2</v>
      </c>
      <c r="M91" s="218">
        <f t="shared" ref="M91:M99" si="55">K91-L91</f>
        <v>5</v>
      </c>
      <c r="N91" s="81">
        <v>7.83</v>
      </c>
      <c r="O91" s="81">
        <v>0</v>
      </c>
      <c r="P91" s="82">
        <f t="shared" ref="P91:P96" si="56">SUM(N91:O91)</f>
        <v>7.83</v>
      </c>
      <c r="Q91" s="83">
        <f>P91/20</f>
        <v>0.39150000000000001</v>
      </c>
      <c r="R91" s="84">
        <f t="shared" si="52"/>
        <v>8.2215000000000007</v>
      </c>
      <c r="S91" s="83">
        <f>R91/20</f>
        <v>0.41107500000000002</v>
      </c>
      <c r="T91" s="125">
        <v>187</v>
      </c>
      <c r="U91" s="85">
        <v>0</v>
      </c>
      <c r="V91" s="85">
        <f t="shared" ref="V91:V99" si="57">SUM(T91:U91)</f>
        <v>187</v>
      </c>
      <c r="W91" s="78">
        <f t="shared" si="45"/>
        <v>93.5</v>
      </c>
      <c r="X91" s="87">
        <f t="shared" si="46"/>
        <v>5.3428571428571425</v>
      </c>
      <c r="Y91" s="88">
        <f t="shared" si="47"/>
        <v>6.6785714285714288</v>
      </c>
      <c r="Z91" s="89">
        <f t="shared" si="48"/>
        <v>-4.6085000000000003</v>
      </c>
      <c r="AA91" s="89">
        <f t="shared" si="49"/>
        <v>0.34285714285714253</v>
      </c>
      <c r="AB91" s="89">
        <f t="shared" si="28"/>
        <v>1.6785714285714288</v>
      </c>
      <c r="AC91" s="145">
        <v>5</v>
      </c>
      <c r="AD91" s="128" t="s">
        <v>38</v>
      </c>
      <c r="AE91" s="94" t="s">
        <v>38</v>
      </c>
      <c r="AF91" s="94" t="s">
        <v>38</v>
      </c>
      <c r="AG91" s="94" t="s">
        <v>38</v>
      </c>
      <c r="AH91" s="94" t="s">
        <v>38</v>
      </c>
      <c r="AI91" s="94" t="s">
        <v>38</v>
      </c>
      <c r="AJ91" s="147" t="s">
        <v>38</v>
      </c>
      <c r="AK91" s="147" t="s">
        <v>38</v>
      </c>
      <c r="AL91" s="147" t="s">
        <v>38</v>
      </c>
      <c r="AM91" s="147" t="s">
        <v>38</v>
      </c>
      <c r="AN91" s="147" t="s">
        <v>38</v>
      </c>
      <c r="AO91" s="146"/>
      <c r="AP91" s="63"/>
    </row>
    <row r="92" spans="1:42" ht="21.75" customHeight="1" x14ac:dyDescent="0.2">
      <c r="A92" s="127" t="s">
        <v>217</v>
      </c>
      <c r="B92" s="272" t="s">
        <v>36</v>
      </c>
      <c r="C92" s="158" t="s">
        <v>38</v>
      </c>
      <c r="D92" s="75" t="s">
        <v>38</v>
      </c>
      <c r="E92" s="75">
        <v>1</v>
      </c>
      <c r="F92" s="75" t="s">
        <v>38</v>
      </c>
      <c r="G92" s="76" t="s">
        <v>38</v>
      </c>
      <c r="H92" s="76" t="s">
        <v>38</v>
      </c>
      <c r="I92" s="76">
        <v>4</v>
      </c>
      <c r="J92" s="77">
        <v>3</v>
      </c>
      <c r="K92" s="299">
        <f t="shared" si="35"/>
        <v>8</v>
      </c>
      <c r="L92" s="79">
        <v>1</v>
      </c>
      <c r="M92" s="218">
        <f t="shared" si="55"/>
        <v>7</v>
      </c>
      <c r="N92" s="98">
        <v>43.055555555555557</v>
      </c>
      <c r="O92" s="98">
        <v>0</v>
      </c>
      <c r="P92" s="82">
        <f t="shared" si="56"/>
        <v>43.055555555555557</v>
      </c>
      <c r="Q92" s="83">
        <f>P92/8</f>
        <v>5.3819444444444446</v>
      </c>
      <c r="R92" s="84">
        <f t="shared" si="52"/>
        <v>45.208333333333336</v>
      </c>
      <c r="S92" s="83">
        <f>R92/8</f>
        <v>5.651041666666667</v>
      </c>
      <c r="T92" s="125">
        <v>326</v>
      </c>
      <c r="U92" s="85">
        <v>0</v>
      </c>
      <c r="V92" s="85">
        <f t="shared" si="57"/>
        <v>326</v>
      </c>
      <c r="W92" s="78">
        <f t="shared" si="45"/>
        <v>163</v>
      </c>
      <c r="X92" s="87">
        <f t="shared" si="46"/>
        <v>9.3142857142857149</v>
      </c>
      <c r="Y92" s="88">
        <f t="shared" si="47"/>
        <v>11.642857142857142</v>
      </c>
      <c r="Z92" s="89">
        <f t="shared" si="48"/>
        <v>-1.6180555555555554</v>
      </c>
      <c r="AA92" s="89">
        <f t="shared" si="49"/>
        <v>2.3142857142857149</v>
      </c>
      <c r="AB92" s="89">
        <f t="shared" si="28"/>
        <v>4.6428571428571423</v>
      </c>
      <c r="AC92" s="145">
        <v>5</v>
      </c>
      <c r="AD92" s="128" t="s">
        <v>38</v>
      </c>
      <c r="AE92" s="94" t="s">
        <v>38</v>
      </c>
      <c r="AF92" s="94" t="s">
        <v>38</v>
      </c>
      <c r="AG92" s="94" t="s">
        <v>38</v>
      </c>
      <c r="AH92" s="94" t="s">
        <v>38</v>
      </c>
      <c r="AI92" s="94" t="s">
        <v>38</v>
      </c>
      <c r="AJ92" s="147" t="s">
        <v>38</v>
      </c>
      <c r="AK92" s="147" t="s">
        <v>38</v>
      </c>
      <c r="AL92" s="147" t="s">
        <v>38</v>
      </c>
      <c r="AM92" s="147" t="s">
        <v>38</v>
      </c>
      <c r="AN92" s="147" t="s">
        <v>38</v>
      </c>
      <c r="AO92" s="146"/>
      <c r="AP92" s="63"/>
    </row>
    <row r="93" spans="1:42" ht="21.75" customHeight="1" x14ac:dyDescent="0.2">
      <c r="A93" s="185" t="s">
        <v>218</v>
      </c>
      <c r="B93" s="272" t="s">
        <v>357</v>
      </c>
      <c r="C93" s="158" t="s">
        <v>38</v>
      </c>
      <c r="D93" s="75" t="s">
        <v>38</v>
      </c>
      <c r="E93" s="75">
        <v>1</v>
      </c>
      <c r="F93" s="75" t="s">
        <v>38</v>
      </c>
      <c r="G93" s="76" t="s">
        <v>38</v>
      </c>
      <c r="H93" s="76" t="s">
        <v>38</v>
      </c>
      <c r="I93" s="76" t="s">
        <v>38</v>
      </c>
      <c r="J93" s="313">
        <v>4</v>
      </c>
      <c r="K93" s="299">
        <f t="shared" si="35"/>
        <v>5</v>
      </c>
      <c r="L93" s="79">
        <v>0</v>
      </c>
      <c r="M93" s="218">
        <f t="shared" si="55"/>
        <v>5</v>
      </c>
      <c r="N93" s="98">
        <v>17.138888888888889</v>
      </c>
      <c r="O93" s="98">
        <v>0</v>
      </c>
      <c r="P93" s="82">
        <f t="shared" si="56"/>
        <v>17.138888888888889</v>
      </c>
      <c r="Q93" s="83">
        <f t="shared" ref="Q93:Q98" si="58">P93/20</f>
        <v>0.85694444444444451</v>
      </c>
      <c r="R93" s="84">
        <f t="shared" si="52"/>
        <v>17.995833333333334</v>
      </c>
      <c r="S93" s="83">
        <f t="shared" ref="S93:S99" si="59">R93/20</f>
        <v>0.89979166666666666</v>
      </c>
      <c r="T93" s="125">
        <v>114</v>
      </c>
      <c r="U93" s="85">
        <v>0</v>
      </c>
      <c r="V93" s="85">
        <f t="shared" si="57"/>
        <v>114</v>
      </c>
      <c r="W93" s="78">
        <f t="shared" si="45"/>
        <v>57</v>
      </c>
      <c r="X93" s="87">
        <f t="shared" si="46"/>
        <v>3.2571428571428571</v>
      </c>
      <c r="Y93" s="88">
        <f t="shared" si="47"/>
        <v>4.0714285714285712</v>
      </c>
      <c r="Z93" s="89">
        <f t="shared" si="48"/>
        <v>-4.1430555555555557</v>
      </c>
      <c r="AA93" s="89">
        <f t="shared" si="49"/>
        <v>-1.7428571428571429</v>
      </c>
      <c r="AB93" s="89">
        <f t="shared" si="28"/>
        <v>-0.92857142857142883</v>
      </c>
      <c r="AC93" s="145">
        <v>5</v>
      </c>
      <c r="AD93" s="128" t="s">
        <v>38</v>
      </c>
      <c r="AE93" s="94" t="s">
        <v>38</v>
      </c>
      <c r="AF93" s="94" t="s">
        <v>38</v>
      </c>
      <c r="AG93" s="94" t="s">
        <v>38</v>
      </c>
      <c r="AH93" s="94" t="s">
        <v>38</v>
      </c>
      <c r="AI93" s="94" t="s">
        <v>38</v>
      </c>
      <c r="AJ93" s="147" t="s">
        <v>38</v>
      </c>
      <c r="AK93" s="147" t="s">
        <v>38</v>
      </c>
      <c r="AL93" s="147" t="s">
        <v>38</v>
      </c>
      <c r="AM93" s="147" t="s">
        <v>38</v>
      </c>
      <c r="AN93" s="147" t="s">
        <v>38</v>
      </c>
      <c r="AO93" s="146"/>
      <c r="AP93" s="63"/>
    </row>
    <row r="94" spans="1:42" ht="21.75" customHeight="1" x14ac:dyDescent="0.2">
      <c r="A94" s="185" t="s">
        <v>219</v>
      </c>
      <c r="B94" s="272" t="s">
        <v>124</v>
      </c>
      <c r="C94" s="158" t="s">
        <v>38</v>
      </c>
      <c r="D94" s="158" t="s">
        <v>38</v>
      </c>
      <c r="E94" s="158" t="s">
        <v>38</v>
      </c>
      <c r="F94" s="158">
        <v>1</v>
      </c>
      <c r="G94" s="76" t="s">
        <v>38</v>
      </c>
      <c r="H94" s="76" t="s">
        <v>38</v>
      </c>
      <c r="I94" s="76">
        <v>3</v>
      </c>
      <c r="J94" s="77">
        <v>3</v>
      </c>
      <c r="K94" s="299">
        <f t="shared" si="35"/>
        <v>7</v>
      </c>
      <c r="L94" s="79">
        <v>1</v>
      </c>
      <c r="M94" s="218">
        <f t="shared" si="55"/>
        <v>6</v>
      </c>
      <c r="N94" s="98">
        <f>0.89+36.64</f>
        <v>37.53</v>
      </c>
      <c r="O94" s="98">
        <v>0</v>
      </c>
      <c r="P94" s="82">
        <f t="shared" si="56"/>
        <v>37.53</v>
      </c>
      <c r="Q94" s="83">
        <f t="shared" si="58"/>
        <v>1.8765000000000001</v>
      </c>
      <c r="R94" s="84">
        <f t="shared" si="52"/>
        <v>39.406500000000001</v>
      </c>
      <c r="S94" s="83">
        <f t="shared" si="59"/>
        <v>1.9703250000000001</v>
      </c>
      <c r="T94" s="186">
        <v>112</v>
      </c>
      <c r="U94" s="85">
        <v>0</v>
      </c>
      <c r="V94" s="85">
        <f t="shared" si="57"/>
        <v>112</v>
      </c>
      <c r="W94" s="78">
        <f t="shared" si="45"/>
        <v>56</v>
      </c>
      <c r="X94" s="87">
        <f t="shared" si="46"/>
        <v>3.2</v>
      </c>
      <c r="Y94" s="88">
        <f t="shared" si="47"/>
        <v>4</v>
      </c>
      <c r="Z94" s="89">
        <f t="shared" si="48"/>
        <v>-4.1234999999999999</v>
      </c>
      <c r="AA94" s="89">
        <f t="shared" si="49"/>
        <v>-2.8</v>
      </c>
      <c r="AB94" s="89">
        <f t="shared" si="28"/>
        <v>-2</v>
      </c>
      <c r="AC94" s="145">
        <v>5</v>
      </c>
      <c r="AD94" s="128" t="s">
        <v>38</v>
      </c>
      <c r="AE94" s="94" t="s">
        <v>38</v>
      </c>
      <c r="AF94" s="94" t="s">
        <v>38</v>
      </c>
      <c r="AG94" s="94" t="s">
        <v>38</v>
      </c>
      <c r="AH94" s="94" t="s">
        <v>38</v>
      </c>
      <c r="AI94" s="94" t="s">
        <v>38</v>
      </c>
      <c r="AJ94" s="147" t="s">
        <v>38</v>
      </c>
      <c r="AK94" s="147" t="s">
        <v>38</v>
      </c>
      <c r="AL94" s="147" t="s">
        <v>38</v>
      </c>
      <c r="AM94" s="147" t="s">
        <v>38</v>
      </c>
      <c r="AN94" s="147" t="s">
        <v>38</v>
      </c>
      <c r="AO94" s="146"/>
      <c r="AP94" s="63"/>
    </row>
    <row r="95" spans="1:42" ht="21.75" customHeight="1" x14ac:dyDescent="0.2">
      <c r="A95" s="127" t="s">
        <v>220</v>
      </c>
      <c r="B95" s="272" t="s">
        <v>37</v>
      </c>
      <c r="C95" s="158" t="s">
        <v>38</v>
      </c>
      <c r="D95" s="75" t="s">
        <v>38</v>
      </c>
      <c r="E95" s="75">
        <v>1</v>
      </c>
      <c r="F95" s="75">
        <v>2</v>
      </c>
      <c r="G95" s="76" t="s">
        <v>38</v>
      </c>
      <c r="H95" s="76" t="s">
        <v>38</v>
      </c>
      <c r="I95" s="76">
        <v>1</v>
      </c>
      <c r="J95" s="77">
        <v>3</v>
      </c>
      <c r="K95" s="299">
        <f t="shared" si="35"/>
        <v>7</v>
      </c>
      <c r="L95" s="79">
        <v>0</v>
      </c>
      <c r="M95" s="218">
        <f t="shared" si="55"/>
        <v>7</v>
      </c>
      <c r="N95" s="98">
        <v>59.277777777777779</v>
      </c>
      <c r="O95" s="98">
        <v>0</v>
      </c>
      <c r="P95" s="82">
        <f t="shared" si="56"/>
        <v>59.277777777777779</v>
      </c>
      <c r="Q95" s="83">
        <f t="shared" si="58"/>
        <v>2.963888888888889</v>
      </c>
      <c r="R95" s="84">
        <f t="shared" si="52"/>
        <v>62.241666666666667</v>
      </c>
      <c r="S95" s="83">
        <f t="shared" si="59"/>
        <v>3.1120833333333335</v>
      </c>
      <c r="T95" s="125">
        <v>262</v>
      </c>
      <c r="U95" s="85">
        <v>0</v>
      </c>
      <c r="V95" s="85">
        <f t="shared" si="57"/>
        <v>262</v>
      </c>
      <c r="W95" s="78">
        <f t="shared" si="45"/>
        <v>131</v>
      </c>
      <c r="X95" s="87">
        <f t="shared" si="46"/>
        <v>7.4857142857142858</v>
      </c>
      <c r="Y95" s="88">
        <f t="shared" si="47"/>
        <v>9.3571428571428577</v>
      </c>
      <c r="Z95" s="89">
        <f t="shared" si="48"/>
        <v>-4.0361111111111114</v>
      </c>
      <c r="AA95" s="89">
        <f t="shared" si="49"/>
        <v>0.48571428571428577</v>
      </c>
      <c r="AB95" s="89">
        <f t="shared" si="28"/>
        <v>2.3571428571428577</v>
      </c>
      <c r="AC95" s="145">
        <v>5</v>
      </c>
      <c r="AD95" s="128" t="s">
        <v>38</v>
      </c>
      <c r="AE95" s="94" t="s">
        <v>38</v>
      </c>
      <c r="AF95" s="94" t="s">
        <v>38</v>
      </c>
      <c r="AG95" s="94" t="s">
        <v>38</v>
      </c>
      <c r="AH95" s="94" t="s">
        <v>38</v>
      </c>
      <c r="AI95" s="94" t="s">
        <v>38</v>
      </c>
      <c r="AJ95" s="147" t="s">
        <v>38</v>
      </c>
      <c r="AK95" s="147" t="s">
        <v>38</v>
      </c>
      <c r="AL95" s="147" t="s">
        <v>38</v>
      </c>
      <c r="AM95" s="147" t="s">
        <v>38</v>
      </c>
      <c r="AN95" s="147" t="s">
        <v>38</v>
      </c>
      <c r="AO95" s="146"/>
      <c r="AP95" s="63"/>
    </row>
    <row r="96" spans="1:42" ht="21.75" customHeight="1" x14ac:dyDescent="0.2">
      <c r="A96" s="127" t="s">
        <v>221</v>
      </c>
      <c r="B96" s="272" t="s">
        <v>34</v>
      </c>
      <c r="C96" s="158" t="s">
        <v>38</v>
      </c>
      <c r="D96" s="75" t="s">
        <v>38</v>
      </c>
      <c r="E96" s="75" t="s">
        <v>38</v>
      </c>
      <c r="F96" s="75">
        <v>0</v>
      </c>
      <c r="G96" s="76" t="s">
        <v>38</v>
      </c>
      <c r="H96" s="76" t="s">
        <v>38</v>
      </c>
      <c r="I96" s="76" t="s">
        <v>38</v>
      </c>
      <c r="J96" s="77">
        <v>5</v>
      </c>
      <c r="K96" s="299">
        <f t="shared" si="35"/>
        <v>5</v>
      </c>
      <c r="L96" s="79">
        <v>0</v>
      </c>
      <c r="M96" s="218">
        <f t="shared" si="55"/>
        <v>5</v>
      </c>
      <c r="N96" s="81">
        <v>125.03</v>
      </c>
      <c r="O96" s="81">
        <v>0</v>
      </c>
      <c r="P96" s="82">
        <f t="shared" si="56"/>
        <v>125.03</v>
      </c>
      <c r="Q96" s="83">
        <f t="shared" si="58"/>
        <v>6.2515000000000001</v>
      </c>
      <c r="R96" s="84">
        <f t="shared" si="52"/>
        <v>131.28149999999999</v>
      </c>
      <c r="S96" s="83">
        <f t="shared" si="59"/>
        <v>6.5640749999999999</v>
      </c>
      <c r="T96" s="125">
        <v>166</v>
      </c>
      <c r="U96" s="85">
        <v>0</v>
      </c>
      <c r="V96" s="85">
        <f t="shared" si="57"/>
        <v>166</v>
      </c>
      <c r="W96" s="78">
        <f t="shared" si="45"/>
        <v>83</v>
      </c>
      <c r="X96" s="87">
        <f t="shared" si="46"/>
        <v>4.7428571428571429</v>
      </c>
      <c r="Y96" s="88">
        <f t="shared" si="47"/>
        <v>5.9285714285714288</v>
      </c>
      <c r="Z96" s="89">
        <f t="shared" si="48"/>
        <v>1.2515000000000001</v>
      </c>
      <c r="AA96" s="89">
        <f t="shared" si="49"/>
        <v>-0.25714285714285712</v>
      </c>
      <c r="AB96" s="89">
        <f t="shared" si="28"/>
        <v>0.92857142857142883</v>
      </c>
      <c r="AC96" s="145">
        <v>5</v>
      </c>
      <c r="AD96" s="128" t="s">
        <v>38</v>
      </c>
      <c r="AE96" s="94" t="s">
        <v>38</v>
      </c>
      <c r="AF96" s="94" t="s">
        <v>38</v>
      </c>
      <c r="AG96" s="94" t="s">
        <v>38</v>
      </c>
      <c r="AH96" s="94" t="s">
        <v>38</v>
      </c>
      <c r="AI96" s="94" t="s">
        <v>38</v>
      </c>
      <c r="AJ96" s="147" t="s">
        <v>38</v>
      </c>
      <c r="AK96" s="147" t="s">
        <v>38</v>
      </c>
      <c r="AL96" s="147" t="s">
        <v>38</v>
      </c>
      <c r="AM96" s="147" t="s">
        <v>38</v>
      </c>
      <c r="AN96" s="147" t="s">
        <v>38</v>
      </c>
      <c r="AO96" s="146"/>
      <c r="AP96" s="63"/>
    </row>
    <row r="97" spans="1:42" ht="21.75" customHeight="1" x14ac:dyDescent="0.2">
      <c r="A97" s="127" t="s">
        <v>222</v>
      </c>
      <c r="B97" s="272" t="s">
        <v>34</v>
      </c>
      <c r="C97" s="158" t="s">
        <v>38</v>
      </c>
      <c r="D97" s="75" t="s">
        <v>38</v>
      </c>
      <c r="E97" s="75" t="s">
        <v>38</v>
      </c>
      <c r="F97" s="75" t="s">
        <v>38</v>
      </c>
      <c r="G97" s="76" t="s">
        <v>38</v>
      </c>
      <c r="H97" s="76" t="s">
        <v>38</v>
      </c>
      <c r="I97" s="76">
        <v>1</v>
      </c>
      <c r="J97" s="77">
        <v>4</v>
      </c>
      <c r="K97" s="299">
        <f t="shared" si="35"/>
        <v>5</v>
      </c>
      <c r="L97" s="79">
        <v>0</v>
      </c>
      <c r="M97" s="218">
        <f>K97-L97</f>
        <v>5</v>
      </c>
      <c r="N97" s="81">
        <v>23.86</v>
      </c>
      <c r="O97" s="81">
        <v>0</v>
      </c>
      <c r="P97" s="82">
        <f>SUM(N97:O97)</f>
        <v>23.86</v>
      </c>
      <c r="Q97" s="83">
        <f t="shared" si="58"/>
        <v>1.1930000000000001</v>
      </c>
      <c r="R97" s="84">
        <f>(P97*0.05)+P97</f>
        <v>25.053000000000001</v>
      </c>
      <c r="S97" s="83">
        <f>R97/20</f>
        <v>1.25265</v>
      </c>
      <c r="T97" s="125">
        <v>73</v>
      </c>
      <c r="U97" s="85">
        <v>0</v>
      </c>
      <c r="V97" s="85">
        <f>SUM(T97:U97)</f>
        <v>73</v>
      </c>
      <c r="W97" s="78">
        <f>V97/2</f>
        <v>36.5</v>
      </c>
      <c r="X97" s="87">
        <f>V97/35</f>
        <v>2.0857142857142859</v>
      </c>
      <c r="Y97" s="88">
        <f>W97/14</f>
        <v>2.6071428571428572</v>
      </c>
      <c r="Z97" s="89">
        <f>Q97-M97</f>
        <v>-3.8069999999999999</v>
      </c>
      <c r="AA97" s="89">
        <f>X97-M97</f>
        <v>-2.9142857142857141</v>
      </c>
      <c r="AB97" s="89">
        <f>Y97-M97</f>
        <v>-2.3928571428571428</v>
      </c>
      <c r="AC97" s="145">
        <v>5</v>
      </c>
      <c r="AD97" s="128" t="s">
        <v>38</v>
      </c>
      <c r="AE97" s="94" t="s">
        <v>38</v>
      </c>
      <c r="AF97" s="94" t="s">
        <v>38</v>
      </c>
      <c r="AG97" s="94" t="s">
        <v>38</v>
      </c>
      <c r="AH97" s="94" t="s">
        <v>38</v>
      </c>
      <c r="AI97" s="94" t="s">
        <v>38</v>
      </c>
      <c r="AJ97" s="147" t="s">
        <v>38</v>
      </c>
      <c r="AK97" s="147" t="s">
        <v>38</v>
      </c>
      <c r="AL97" s="147" t="s">
        <v>38</v>
      </c>
      <c r="AM97" s="147" t="s">
        <v>38</v>
      </c>
      <c r="AN97" s="147" t="s">
        <v>38</v>
      </c>
      <c r="AO97" s="146"/>
      <c r="AP97" s="63"/>
    </row>
    <row r="98" spans="1:42" ht="21.75" customHeight="1" x14ac:dyDescent="0.2">
      <c r="A98" s="127" t="s">
        <v>223</v>
      </c>
      <c r="B98" s="272" t="s">
        <v>37</v>
      </c>
      <c r="C98" s="158">
        <v>0</v>
      </c>
      <c r="D98" s="75">
        <v>0</v>
      </c>
      <c r="E98" s="75">
        <v>2</v>
      </c>
      <c r="F98" s="75">
        <v>0</v>
      </c>
      <c r="G98" s="76">
        <v>0</v>
      </c>
      <c r="H98" s="76">
        <v>0</v>
      </c>
      <c r="I98" s="76">
        <v>4</v>
      </c>
      <c r="J98" s="77">
        <v>3</v>
      </c>
      <c r="K98" s="299">
        <f t="shared" si="35"/>
        <v>9</v>
      </c>
      <c r="L98" s="79">
        <v>0</v>
      </c>
      <c r="M98" s="218">
        <f>K98-L98</f>
        <v>9</v>
      </c>
      <c r="N98" s="81">
        <f>5.44444444444444+30.8888888888889</f>
        <v>36.333333333333343</v>
      </c>
      <c r="O98" s="81">
        <v>0</v>
      </c>
      <c r="P98" s="82">
        <f>SUM(N98:O98)</f>
        <v>36.333333333333343</v>
      </c>
      <c r="Q98" s="83">
        <f t="shared" si="58"/>
        <v>1.8166666666666671</v>
      </c>
      <c r="R98" s="84">
        <f>(P98*0.05)+P98</f>
        <v>38.150000000000013</v>
      </c>
      <c r="S98" s="83">
        <f>R98/20</f>
        <v>1.9075000000000006</v>
      </c>
      <c r="T98" s="125">
        <f>184+202</f>
        <v>386</v>
      </c>
      <c r="U98" s="85">
        <v>0</v>
      </c>
      <c r="V98" s="85">
        <f>SUM(T98:U98)</f>
        <v>386</v>
      </c>
      <c r="W98" s="78">
        <f>V98/2</f>
        <v>193</v>
      </c>
      <c r="X98" s="87">
        <f>V98/35</f>
        <v>11.028571428571428</v>
      </c>
      <c r="Y98" s="88">
        <f>W98/14</f>
        <v>13.785714285714286</v>
      </c>
      <c r="Z98" s="89">
        <f>Q98-M98</f>
        <v>-7.1833333333333327</v>
      </c>
      <c r="AA98" s="89">
        <f>X98-M98</f>
        <v>2.0285714285714285</v>
      </c>
      <c r="AB98" s="89">
        <f>Y98-M98</f>
        <v>4.7857142857142865</v>
      </c>
      <c r="AC98" s="145">
        <v>5</v>
      </c>
      <c r="AD98" s="219">
        <v>0</v>
      </c>
      <c r="AE98" s="220">
        <v>0</v>
      </c>
      <c r="AF98" s="220">
        <v>0</v>
      </c>
      <c r="AG98" s="220">
        <v>0</v>
      </c>
      <c r="AH98" s="220">
        <v>0</v>
      </c>
      <c r="AI98" s="220">
        <v>0</v>
      </c>
      <c r="AJ98" s="234">
        <v>0</v>
      </c>
      <c r="AK98" s="234">
        <v>0</v>
      </c>
      <c r="AL98" s="234">
        <v>0</v>
      </c>
      <c r="AM98" s="234">
        <v>0</v>
      </c>
      <c r="AN98" s="234">
        <v>0</v>
      </c>
      <c r="AO98" s="146"/>
      <c r="AP98" s="63"/>
    </row>
    <row r="99" spans="1:42" ht="21.75" customHeight="1" x14ac:dyDescent="0.2">
      <c r="A99" s="127" t="s">
        <v>247</v>
      </c>
      <c r="B99" s="272" t="s">
        <v>35</v>
      </c>
      <c r="C99" s="158" t="s">
        <v>38</v>
      </c>
      <c r="D99" s="75" t="s">
        <v>38</v>
      </c>
      <c r="E99" s="75" t="s">
        <v>38</v>
      </c>
      <c r="F99" s="75">
        <v>2</v>
      </c>
      <c r="G99" s="76" t="s">
        <v>38</v>
      </c>
      <c r="H99" s="76" t="s">
        <v>38</v>
      </c>
      <c r="I99" s="76">
        <v>1</v>
      </c>
      <c r="J99" s="77">
        <v>2</v>
      </c>
      <c r="K99" s="299">
        <f t="shared" si="35"/>
        <v>5</v>
      </c>
      <c r="L99" s="79">
        <v>0</v>
      </c>
      <c r="M99" s="218">
        <f t="shared" si="55"/>
        <v>5</v>
      </c>
      <c r="N99" s="98">
        <v>0</v>
      </c>
      <c r="O99" s="81">
        <v>0</v>
      </c>
      <c r="P99" s="82">
        <f>SUM(N99:O99)</f>
        <v>0</v>
      </c>
      <c r="Q99" s="83">
        <v>0</v>
      </c>
      <c r="R99" s="84">
        <v>35</v>
      </c>
      <c r="S99" s="83">
        <f t="shared" si="59"/>
        <v>1.75</v>
      </c>
      <c r="T99" s="125">
        <v>0</v>
      </c>
      <c r="U99" s="85">
        <v>0</v>
      </c>
      <c r="V99" s="85">
        <f t="shared" si="57"/>
        <v>0</v>
      </c>
      <c r="W99" s="78">
        <f t="shared" si="45"/>
        <v>0</v>
      </c>
      <c r="X99" s="87">
        <f t="shared" si="46"/>
        <v>0</v>
      </c>
      <c r="Y99" s="88">
        <f t="shared" si="47"/>
        <v>0</v>
      </c>
      <c r="Z99" s="89">
        <f t="shared" si="48"/>
        <v>-5</v>
      </c>
      <c r="AA99" s="89">
        <f t="shared" si="49"/>
        <v>-5</v>
      </c>
      <c r="AB99" s="89">
        <f t="shared" ref="AB99:AB107" si="60">Y99-M99</f>
        <v>-5</v>
      </c>
      <c r="AC99" s="145">
        <v>5</v>
      </c>
      <c r="AD99" s="128" t="s">
        <v>38</v>
      </c>
      <c r="AE99" s="94" t="s">
        <v>38</v>
      </c>
      <c r="AF99" s="94" t="s">
        <v>38</v>
      </c>
      <c r="AG99" s="94" t="s">
        <v>38</v>
      </c>
      <c r="AH99" s="94" t="s">
        <v>38</v>
      </c>
      <c r="AI99" s="94" t="s">
        <v>38</v>
      </c>
      <c r="AJ99" s="147" t="s">
        <v>38</v>
      </c>
      <c r="AK99" s="147" t="s">
        <v>38</v>
      </c>
      <c r="AL99" s="147" t="s">
        <v>38</v>
      </c>
      <c r="AM99" s="147" t="s">
        <v>38</v>
      </c>
      <c r="AN99" s="147" t="s">
        <v>38</v>
      </c>
      <c r="AO99" s="146"/>
      <c r="AP99" s="63"/>
    </row>
    <row r="100" spans="1:42" s="9" customFormat="1" ht="21.95" customHeight="1" x14ac:dyDescent="0.2">
      <c r="A100" s="64" t="s">
        <v>105</v>
      </c>
      <c r="B100" s="265"/>
      <c r="C100" s="122">
        <f>SUM(C102:C105)</f>
        <v>0</v>
      </c>
      <c r="D100" s="122">
        <f>SUM(D101:D105)</f>
        <v>2</v>
      </c>
      <c r="E100" s="122">
        <f t="shared" ref="E100:J100" si="61">SUM(E101:E105)</f>
        <v>1</v>
      </c>
      <c r="F100" s="122">
        <f t="shared" si="61"/>
        <v>0</v>
      </c>
      <c r="G100" s="122">
        <f t="shared" si="61"/>
        <v>0</v>
      </c>
      <c r="H100" s="122">
        <f t="shared" si="61"/>
        <v>0</v>
      </c>
      <c r="I100" s="122">
        <f t="shared" si="61"/>
        <v>4</v>
      </c>
      <c r="J100" s="122">
        <f t="shared" si="61"/>
        <v>16</v>
      </c>
      <c r="K100" s="122">
        <f>SUM(K101:K105)</f>
        <v>23</v>
      </c>
      <c r="L100" s="65">
        <f>SUM(L101:L105)</f>
        <v>3</v>
      </c>
      <c r="M100" s="65">
        <f>SUM(M101:M105)</f>
        <v>20</v>
      </c>
      <c r="N100" s="67">
        <f>SUM(N102:N105)</f>
        <v>198.47222222222223</v>
      </c>
      <c r="O100" s="67">
        <f>SUM(O101:O105)</f>
        <v>44.590000000000074</v>
      </c>
      <c r="P100" s="67">
        <f>SUM(P101:P105)</f>
        <v>243.06222222222232</v>
      </c>
      <c r="Q100" s="187">
        <f>SUM(Q101:Q105)</f>
        <v>11.386111111111115</v>
      </c>
      <c r="R100" s="152">
        <f t="shared" si="52"/>
        <v>255.21533333333343</v>
      </c>
      <c r="S100" s="187">
        <f>SUM(S101:S105)</f>
        <v>11.259916666666667</v>
      </c>
      <c r="T100" s="65">
        <f>SUM(T101:T105)</f>
        <v>301</v>
      </c>
      <c r="U100" s="65">
        <f>SUM(U101:U105)</f>
        <v>57</v>
      </c>
      <c r="V100" s="65">
        <f>SUM(V101:V105)</f>
        <v>358</v>
      </c>
      <c r="W100" s="65">
        <f t="shared" si="45"/>
        <v>179</v>
      </c>
      <c r="X100" s="155">
        <f t="shared" si="46"/>
        <v>10.228571428571428</v>
      </c>
      <c r="Y100" s="155">
        <f t="shared" si="47"/>
        <v>12.785714285714286</v>
      </c>
      <c r="Z100" s="187">
        <f>SUM(Z101:Z105)</f>
        <v>-8.6138888888888854</v>
      </c>
      <c r="AA100" s="69">
        <f>SUM(AA101:AA105)</f>
        <v>-11.771428571428572</v>
      </c>
      <c r="AB100" s="69">
        <f t="shared" si="60"/>
        <v>-7.2142857142857135</v>
      </c>
      <c r="AC100" s="187">
        <f>SUM(AC101:AC105)</f>
        <v>21</v>
      </c>
      <c r="AD100" s="187">
        <f>SUM(AD101:AD105)</f>
        <v>1.403140625</v>
      </c>
      <c r="AE100" s="65">
        <f t="shared" ref="AE100:AN100" si="62">SUM(AE101:AE105)</f>
        <v>0</v>
      </c>
      <c r="AF100" s="65">
        <f t="shared" si="62"/>
        <v>1</v>
      </c>
      <c r="AG100" s="65">
        <f t="shared" si="62"/>
        <v>0</v>
      </c>
      <c r="AH100" s="65">
        <f t="shared" si="62"/>
        <v>0</v>
      </c>
      <c r="AI100" s="65">
        <f t="shared" si="62"/>
        <v>0</v>
      </c>
      <c r="AJ100" s="65">
        <f t="shared" si="62"/>
        <v>0</v>
      </c>
      <c r="AK100" s="65">
        <f t="shared" si="62"/>
        <v>0</v>
      </c>
      <c r="AL100" s="65">
        <f t="shared" si="62"/>
        <v>0</v>
      </c>
      <c r="AM100" s="65">
        <f t="shared" si="62"/>
        <v>0</v>
      </c>
      <c r="AN100" s="65">
        <f t="shared" si="62"/>
        <v>0</v>
      </c>
      <c r="AO100" s="71"/>
      <c r="AP100" s="72"/>
    </row>
    <row r="101" spans="1:42" s="10" customFormat="1" ht="21.75" customHeight="1" x14ac:dyDescent="0.2">
      <c r="A101" s="347" t="s">
        <v>106</v>
      </c>
      <c r="B101" s="262" t="s">
        <v>15</v>
      </c>
      <c r="C101" s="96" t="s">
        <v>38</v>
      </c>
      <c r="D101" s="96">
        <v>1</v>
      </c>
      <c r="E101" s="96" t="s">
        <v>38</v>
      </c>
      <c r="F101" s="96" t="s">
        <v>38</v>
      </c>
      <c r="G101" s="97" t="s">
        <v>38</v>
      </c>
      <c r="H101" s="97" t="s">
        <v>38</v>
      </c>
      <c r="I101" s="97">
        <v>1</v>
      </c>
      <c r="J101" s="97">
        <v>1</v>
      </c>
      <c r="K101" s="108">
        <f>SUM(C101:J101)</f>
        <v>3</v>
      </c>
      <c r="L101" s="144">
        <v>0</v>
      </c>
      <c r="M101" s="237">
        <f t="shared" ref="M101:M127" si="63">K101-L101</f>
        <v>3</v>
      </c>
      <c r="N101" s="98">
        <v>0</v>
      </c>
      <c r="O101" s="98">
        <f>7.66666666666667+6.25</f>
        <v>13.91666666666667</v>
      </c>
      <c r="P101" s="82">
        <f t="shared" ref="P101:P108" si="64">N101+O101</f>
        <v>13.91666666666667</v>
      </c>
      <c r="Q101" s="134">
        <f>+O101/20</f>
        <v>0.69583333333333353</v>
      </c>
      <c r="R101" s="84">
        <f t="shared" si="52"/>
        <v>14.612500000000002</v>
      </c>
      <c r="S101" s="135">
        <f>+Q101/20</f>
        <v>3.4791666666666679E-2</v>
      </c>
      <c r="T101" s="190">
        <v>0</v>
      </c>
      <c r="U101" s="86">
        <v>19</v>
      </c>
      <c r="V101" s="85">
        <f>SUM(U101:U101)</f>
        <v>19</v>
      </c>
      <c r="W101" s="78">
        <f t="shared" si="45"/>
        <v>9.5</v>
      </c>
      <c r="X101" s="87">
        <f t="shared" si="46"/>
        <v>0.54285714285714282</v>
      </c>
      <c r="Y101" s="88">
        <f t="shared" si="47"/>
        <v>0.6785714285714286</v>
      </c>
      <c r="Z101" s="100">
        <f>Q101-M101</f>
        <v>-2.3041666666666663</v>
      </c>
      <c r="AA101" s="100">
        <f>X101-M101</f>
        <v>-2.4571428571428573</v>
      </c>
      <c r="AB101" s="100">
        <f t="shared" si="60"/>
        <v>-2.3214285714285712</v>
      </c>
      <c r="AC101" s="191">
        <v>3</v>
      </c>
      <c r="AD101" s="128" t="s">
        <v>38</v>
      </c>
      <c r="AE101" s="241" t="s">
        <v>38</v>
      </c>
      <c r="AF101" s="220" t="s">
        <v>38</v>
      </c>
      <c r="AG101" s="241" t="s">
        <v>38</v>
      </c>
      <c r="AH101" s="241" t="s">
        <v>38</v>
      </c>
      <c r="AI101" s="241" t="s">
        <v>38</v>
      </c>
      <c r="AJ101" s="242" t="s">
        <v>38</v>
      </c>
      <c r="AK101" s="242" t="s">
        <v>38</v>
      </c>
      <c r="AL101" s="242" t="s">
        <v>38</v>
      </c>
      <c r="AM101" s="242" t="s">
        <v>38</v>
      </c>
      <c r="AN101" s="242" t="s">
        <v>38</v>
      </c>
      <c r="AO101" s="94" t="s">
        <v>138</v>
      </c>
      <c r="AP101" s="63"/>
    </row>
    <row r="102" spans="1:42" s="7" customFormat="1" ht="21.75" customHeight="1" x14ac:dyDescent="0.2">
      <c r="A102" s="347"/>
      <c r="B102" s="263" t="s">
        <v>16</v>
      </c>
      <c r="C102" s="158" t="s">
        <v>38</v>
      </c>
      <c r="D102" s="158">
        <v>1</v>
      </c>
      <c r="E102" s="158">
        <v>0</v>
      </c>
      <c r="F102" s="158" t="s">
        <v>38</v>
      </c>
      <c r="G102" s="76" t="s">
        <v>38</v>
      </c>
      <c r="H102" s="76" t="s">
        <v>38</v>
      </c>
      <c r="I102" s="76" t="s">
        <v>38</v>
      </c>
      <c r="J102" s="76">
        <v>2</v>
      </c>
      <c r="K102" s="108">
        <f>SUM(C102:J102)</f>
        <v>3</v>
      </c>
      <c r="L102" s="144">
        <v>0</v>
      </c>
      <c r="M102" s="237">
        <f t="shared" si="63"/>
        <v>3</v>
      </c>
      <c r="N102" s="81">
        <v>0</v>
      </c>
      <c r="O102" s="81">
        <f>7.6666666666667*2</f>
        <v>15.3333333333334</v>
      </c>
      <c r="P102" s="82">
        <f t="shared" si="64"/>
        <v>15.3333333333334</v>
      </c>
      <c r="Q102" s="134">
        <f>+O102/20</f>
        <v>0.76666666666666994</v>
      </c>
      <c r="R102" s="84">
        <f t="shared" si="52"/>
        <v>16.100000000000069</v>
      </c>
      <c r="S102" s="135">
        <f>+Q102/20</f>
        <v>3.8333333333333497E-2</v>
      </c>
      <c r="T102" s="109">
        <v>0</v>
      </c>
      <c r="U102" s="195">
        <v>38</v>
      </c>
      <c r="V102" s="85">
        <f>SUM(U102:U102)</f>
        <v>38</v>
      </c>
      <c r="W102" s="78">
        <f t="shared" si="45"/>
        <v>19</v>
      </c>
      <c r="X102" s="87">
        <f t="shared" si="46"/>
        <v>1.0857142857142856</v>
      </c>
      <c r="Y102" s="88">
        <f t="shared" si="47"/>
        <v>1.3571428571428572</v>
      </c>
      <c r="Z102" s="89">
        <f>Q102-M102</f>
        <v>-2.2333333333333298</v>
      </c>
      <c r="AA102" s="89">
        <f>X102-M102</f>
        <v>-1.9142857142857144</v>
      </c>
      <c r="AB102" s="89">
        <f t="shared" si="60"/>
        <v>-1.6428571428571428</v>
      </c>
      <c r="AC102" s="191">
        <v>3</v>
      </c>
      <c r="AD102" s="196">
        <f>S102/8</f>
        <v>4.7916666666666871E-3</v>
      </c>
      <c r="AE102" s="243" t="s">
        <v>38</v>
      </c>
      <c r="AF102" s="243">
        <v>1</v>
      </c>
      <c r="AG102" s="243" t="s">
        <v>38</v>
      </c>
      <c r="AH102" s="243" t="s">
        <v>38</v>
      </c>
      <c r="AI102" s="243" t="s">
        <v>38</v>
      </c>
      <c r="AJ102" s="242" t="s">
        <v>38</v>
      </c>
      <c r="AK102" s="242" t="s">
        <v>38</v>
      </c>
      <c r="AL102" s="242" t="s">
        <v>38</v>
      </c>
      <c r="AM102" s="242" t="s">
        <v>38</v>
      </c>
      <c r="AN102" s="242" t="s">
        <v>38</v>
      </c>
      <c r="AO102" s="94"/>
      <c r="AP102" s="95"/>
    </row>
    <row r="103" spans="1:42" s="7" customFormat="1" ht="21.75" customHeight="1" x14ac:dyDescent="0.2">
      <c r="A103" s="347"/>
      <c r="B103" s="263" t="s">
        <v>17</v>
      </c>
      <c r="C103" s="158" t="s">
        <v>38</v>
      </c>
      <c r="D103" s="158" t="s">
        <v>38</v>
      </c>
      <c r="E103" s="158">
        <v>1</v>
      </c>
      <c r="F103" s="158" t="s">
        <v>38</v>
      </c>
      <c r="G103" s="76" t="s">
        <v>38</v>
      </c>
      <c r="H103" s="76" t="s">
        <v>38</v>
      </c>
      <c r="I103" s="76">
        <v>2</v>
      </c>
      <c r="J103" s="76">
        <v>2</v>
      </c>
      <c r="K103" s="108">
        <f>SUM(C103:J103)</f>
        <v>5</v>
      </c>
      <c r="L103" s="144">
        <v>1</v>
      </c>
      <c r="M103" s="237">
        <f t="shared" si="63"/>
        <v>4</v>
      </c>
      <c r="N103" s="81">
        <v>0</v>
      </c>
      <c r="O103" s="81">
        <f>7.67*2</f>
        <v>15.34</v>
      </c>
      <c r="P103" s="82">
        <f t="shared" si="64"/>
        <v>15.34</v>
      </c>
      <c r="Q103" s="134">
        <f>N103/20</f>
        <v>0</v>
      </c>
      <c r="R103" s="84">
        <f t="shared" si="52"/>
        <v>16.106999999999999</v>
      </c>
      <c r="S103" s="135">
        <f>P103/20</f>
        <v>0.76700000000000002</v>
      </c>
      <c r="T103" s="103">
        <v>154</v>
      </c>
      <c r="U103" s="136">
        <v>0</v>
      </c>
      <c r="V103" s="85">
        <f t="shared" ref="V103:V120" si="65">SUM(T103:U103)</f>
        <v>154</v>
      </c>
      <c r="W103" s="78">
        <f t="shared" si="45"/>
        <v>77</v>
      </c>
      <c r="X103" s="87">
        <f t="shared" si="46"/>
        <v>4.4000000000000004</v>
      </c>
      <c r="Y103" s="88">
        <f t="shared" si="47"/>
        <v>5.5</v>
      </c>
      <c r="Z103" s="89">
        <f>Q103-M103</f>
        <v>-4</v>
      </c>
      <c r="AA103" s="89">
        <f>X103-M103</f>
        <v>0.40000000000000036</v>
      </c>
      <c r="AB103" s="89">
        <f t="shared" si="60"/>
        <v>1.5</v>
      </c>
      <c r="AC103" s="191">
        <v>5</v>
      </c>
      <c r="AD103" s="196">
        <f>S103/8</f>
        <v>9.5875000000000002E-2</v>
      </c>
      <c r="AE103" s="243" t="s">
        <v>38</v>
      </c>
      <c r="AF103" s="244">
        <v>0</v>
      </c>
      <c r="AG103" s="243" t="s">
        <v>38</v>
      </c>
      <c r="AH103" s="243" t="s">
        <v>38</v>
      </c>
      <c r="AI103" s="243" t="s">
        <v>38</v>
      </c>
      <c r="AJ103" s="242" t="s">
        <v>38</v>
      </c>
      <c r="AK103" s="242" t="s">
        <v>38</v>
      </c>
      <c r="AL103" s="242" t="s">
        <v>38</v>
      </c>
      <c r="AM103" s="242" t="s">
        <v>38</v>
      </c>
      <c r="AN103" s="242" t="s">
        <v>38</v>
      </c>
      <c r="AO103" s="94"/>
      <c r="AP103" s="95"/>
    </row>
    <row r="104" spans="1:42" s="7" customFormat="1" ht="24" x14ac:dyDescent="0.2">
      <c r="A104" s="198" t="s">
        <v>107</v>
      </c>
      <c r="B104" s="263" t="s">
        <v>27</v>
      </c>
      <c r="C104" s="199" t="s">
        <v>38</v>
      </c>
      <c r="D104" s="199" t="s">
        <v>38</v>
      </c>
      <c r="E104" s="199" t="s">
        <v>38</v>
      </c>
      <c r="F104" s="199" t="s">
        <v>38</v>
      </c>
      <c r="G104" s="97" t="s">
        <v>38</v>
      </c>
      <c r="H104" s="97" t="s">
        <v>38</v>
      </c>
      <c r="I104" s="97">
        <v>0</v>
      </c>
      <c r="J104" s="97">
        <v>6</v>
      </c>
      <c r="K104" s="108">
        <f>SUM(C104:J104)</f>
        <v>6</v>
      </c>
      <c r="L104" s="79">
        <v>2</v>
      </c>
      <c r="M104" s="218">
        <f t="shared" si="63"/>
        <v>4</v>
      </c>
      <c r="N104" s="81">
        <v>177.52777777777777</v>
      </c>
      <c r="O104" s="81">
        <v>0</v>
      </c>
      <c r="P104" s="82">
        <f t="shared" si="64"/>
        <v>177.52777777777777</v>
      </c>
      <c r="Q104" s="83">
        <f>+P104/20</f>
        <v>8.8763888888888882</v>
      </c>
      <c r="R104" s="84">
        <f t="shared" si="52"/>
        <v>186.40416666666667</v>
      </c>
      <c r="S104" s="83">
        <f>+R104/20</f>
        <v>9.3202083333333334</v>
      </c>
      <c r="T104" s="125">
        <v>124</v>
      </c>
      <c r="U104" s="85">
        <v>0</v>
      </c>
      <c r="V104" s="85">
        <f t="shared" si="65"/>
        <v>124</v>
      </c>
      <c r="W104" s="78">
        <f t="shared" si="45"/>
        <v>62</v>
      </c>
      <c r="X104" s="87">
        <f t="shared" si="46"/>
        <v>3.5428571428571427</v>
      </c>
      <c r="Y104" s="88">
        <f t="shared" si="47"/>
        <v>4.4285714285714288</v>
      </c>
      <c r="Z104" s="89">
        <f>Q104-M104</f>
        <v>4.8763888888888882</v>
      </c>
      <c r="AA104" s="89">
        <f>X104-K104</f>
        <v>-2.4571428571428573</v>
      </c>
      <c r="AB104" s="89">
        <f t="shared" si="60"/>
        <v>0.42857142857142883</v>
      </c>
      <c r="AC104" s="90">
        <v>5</v>
      </c>
      <c r="AD104" s="196">
        <f>S104/8</f>
        <v>1.1650260416666667</v>
      </c>
      <c r="AE104" s="126" t="s">
        <v>38</v>
      </c>
      <c r="AF104" s="126" t="s">
        <v>38</v>
      </c>
      <c r="AG104" s="126" t="s">
        <v>38</v>
      </c>
      <c r="AH104" s="126" t="s">
        <v>38</v>
      </c>
      <c r="AI104" s="126" t="s">
        <v>38</v>
      </c>
      <c r="AJ104" s="245" t="s">
        <v>38</v>
      </c>
      <c r="AK104" s="245" t="s">
        <v>38</v>
      </c>
      <c r="AL104" s="245" t="s">
        <v>38</v>
      </c>
      <c r="AM104" s="245" t="s">
        <v>38</v>
      </c>
      <c r="AN104" s="245" t="s">
        <v>38</v>
      </c>
      <c r="AO104" s="94"/>
      <c r="AP104" s="95"/>
    </row>
    <row r="105" spans="1:42" s="7" customFormat="1" ht="21.95" customHeight="1" x14ac:dyDescent="0.2">
      <c r="A105" s="198" t="s">
        <v>108</v>
      </c>
      <c r="B105" s="263" t="s">
        <v>27</v>
      </c>
      <c r="C105" s="199" t="s">
        <v>38</v>
      </c>
      <c r="D105" s="199" t="s">
        <v>38</v>
      </c>
      <c r="E105" s="199" t="s">
        <v>38</v>
      </c>
      <c r="F105" s="199" t="s">
        <v>38</v>
      </c>
      <c r="G105" s="97" t="s">
        <v>38</v>
      </c>
      <c r="H105" s="97">
        <v>0</v>
      </c>
      <c r="I105" s="97">
        <v>1</v>
      </c>
      <c r="J105" s="97">
        <v>5</v>
      </c>
      <c r="K105" s="108">
        <f>SUM(C105:J105)</f>
        <v>6</v>
      </c>
      <c r="L105" s="79">
        <v>0</v>
      </c>
      <c r="M105" s="218">
        <f t="shared" si="63"/>
        <v>6</v>
      </c>
      <c r="N105" s="81">
        <v>20.944444444444443</v>
      </c>
      <c r="O105" s="81">
        <v>0</v>
      </c>
      <c r="P105" s="82">
        <f t="shared" si="64"/>
        <v>20.944444444444443</v>
      </c>
      <c r="Q105" s="83">
        <f>+P105/20</f>
        <v>1.0472222222222221</v>
      </c>
      <c r="R105" s="84">
        <f t="shared" si="52"/>
        <v>21.991666666666664</v>
      </c>
      <c r="S105" s="83">
        <f>+R105/20</f>
        <v>1.0995833333333331</v>
      </c>
      <c r="T105" s="125">
        <v>23</v>
      </c>
      <c r="U105" s="85">
        <v>0</v>
      </c>
      <c r="V105" s="85">
        <f t="shared" si="65"/>
        <v>23</v>
      </c>
      <c r="W105" s="78">
        <f t="shared" si="45"/>
        <v>11.5</v>
      </c>
      <c r="X105" s="87">
        <f t="shared" si="46"/>
        <v>0.65714285714285714</v>
      </c>
      <c r="Y105" s="88">
        <f t="shared" si="47"/>
        <v>0.8214285714285714</v>
      </c>
      <c r="Z105" s="89">
        <f>Q105-M105</f>
        <v>-4.9527777777777775</v>
      </c>
      <c r="AA105" s="89">
        <f>X105-K105</f>
        <v>-5.3428571428571425</v>
      </c>
      <c r="AB105" s="89">
        <f t="shared" si="60"/>
        <v>-5.1785714285714288</v>
      </c>
      <c r="AC105" s="90">
        <v>5</v>
      </c>
      <c r="AD105" s="196">
        <f>S105/8</f>
        <v>0.13744791666666664</v>
      </c>
      <c r="AE105" s="126" t="s">
        <v>38</v>
      </c>
      <c r="AF105" s="126" t="s">
        <v>38</v>
      </c>
      <c r="AG105" s="126" t="s">
        <v>38</v>
      </c>
      <c r="AH105" s="126" t="s">
        <v>38</v>
      </c>
      <c r="AI105" s="126" t="s">
        <v>38</v>
      </c>
      <c r="AJ105" s="245" t="s">
        <v>38</v>
      </c>
      <c r="AK105" s="245" t="s">
        <v>38</v>
      </c>
      <c r="AL105" s="245" t="s">
        <v>38</v>
      </c>
      <c r="AM105" s="245" t="s">
        <v>38</v>
      </c>
      <c r="AN105" s="245" t="s">
        <v>38</v>
      </c>
      <c r="AO105" s="94"/>
      <c r="AP105" s="95"/>
    </row>
    <row r="106" spans="1:42" s="18" customFormat="1" ht="21.75" customHeight="1" x14ac:dyDescent="0.2">
      <c r="A106" s="201" t="s">
        <v>109</v>
      </c>
      <c r="B106" s="273"/>
      <c r="C106" s="149">
        <f t="shared" ref="C106:AI106" si="66">SUM(C107:C107)</f>
        <v>0</v>
      </c>
      <c r="D106" s="149">
        <f t="shared" si="66"/>
        <v>0</v>
      </c>
      <c r="E106" s="149">
        <f t="shared" si="66"/>
        <v>0</v>
      </c>
      <c r="F106" s="149">
        <f t="shared" si="66"/>
        <v>0</v>
      </c>
      <c r="G106" s="149">
        <f t="shared" si="66"/>
        <v>0</v>
      </c>
      <c r="H106" s="149">
        <f t="shared" si="66"/>
        <v>0</v>
      </c>
      <c r="I106" s="149">
        <f t="shared" si="66"/>
        <v>0</v>
      </c>
      <c r="J106" s="149">
        <f t="shared" si="66"/>
        <v>0</v>
      </c>
      <c r="K106" s="149">
        <f t="shared" si="66"/>
        <v>0</v>
      </c>
      <c r="L106" s="149">
        <f t="shared" si="66"/>
        <v>0</v>
      </c>
      <c r="M106" s="149">
        <f t="shared" si="66"/>
        <v>0</v>
      </c>
      <c r="N106" s="149">
        <f t="shared" si="66"/>
        <v>0</v>
      </c>
      <c r="O106" s="149">
        <f t="shared" si="66"/>
        <v>0</v>
      </c>
      <c r="P106" s="149">
        <f t="shared" si="66"/>
        <v>0</v>
      </c>
      <c r="Q106" s="149">
        <f t="shared" si="66"/>
        <v>0</v>
      </c>
      <c r="R106" s="149">
        <f t="shared" si="66"/>
        <v>72</v>
      </c>
      <c r="S106" s="149">
        <f t="shared" si="66"/>
        <v>9</v>
      </c>
      <c r="T106" s="149">
        <f t="shared" si="66"/>
        <v>0</v>
      </c>
      <c r="U106" s="149">
        <f t="shared" si="66"/>
        <v>0</v>
      </c>
      <c r="V106" s="149">
        <f t="shared" si="66"/>
        <v>0</v>
      </c>
      <c r="W106" s="149">
        <f t="shared" si="66"/>
        <v>0</v>
      </c>
      <c r="X106" s="149">
        <f t="shared" si="66"/>
        <v>0</v>
      </c>
      <c r="Y106" s="149">
        <f t="shared" si="66"/>
        <v>0</v>
      </c>
      <c r="Z106" s="233">
        <f t="shared" si="66"/>
        <v>0</v>
      </c>
      <c r="AA106" s="233">
        <f t="shared" si="66"/>
        <v>0</v>
      </c>
      <c r="AB106" s="233">
        <f t="shared" si="66"/>
        <v>0</v>
      </c>
      <c r="AC106" s="202">
        <f t="shared" si="66"/>
        <v>5</v>
      </c>
      <c r="AD106" s="202">
        <f t="shared" si="66"/>
        <v>9</v>
      </c>
      <c r="AE106" s="203">
        <f t="shared" si="66"/>
        <v>0</v>
      </c>
      <c r="AF106" s="203">
        <f t="shared" si="66"/>
        <v>0</v>
      </c>
      <c r="AG106" s="203">
        <f t="shared" si="66"/>
        <v>0</v>
      </c>
      <c r="AH106" s="203">
        <f t="shared" si="66"/>
        <v>0</v>
      </c>
      <c r="AI106" s="203">
        <f t="shared" si="66"/>
        <v>0</v>
      </c>
      <c r="AJ106" s="204">
        <v>0</v>
      </c>
      <c r="AK106" s="205">
        <f>SUM(AK107:AK107)</f>
        <v>4</v>
      </c>
      <c r="AL106" s="205">
        <f>SUM(AL107:AL107)</f>
        <v>9</v>
      </c>
      <c r="AM106" s="205">
        <f>SUM(AM107:AM107)</f>
        <v>9</v>
      </c>
      <c r="AN106" s="205">
        <f>SUM(AN107:AN107)</f>
        <v>9</v>
      </c>
      <c r="AO106" s="156"/>
      <c r="AP106" s="72"/>
    </row>
    <row r="107" spans="1:42" ht="21.75" customHeight="1" x14ac:dyDescent="0.2">
      <c r="A107" s="127" t="s">
        <v>215</v>
      </c>
      <c r="B107" s="272" t="s">
        <v>358</v>
      </c>
      <c r="C107" s="75" t="s">
        <v>38</v>
      </c>
      <c r="D107" s="75" t="s">
        <v>38</v>
      </c>
      <c r="E107" s="75" t="s">
        <v>38</v>
      </c>
      <c r="F107" s="75" t="s">
        <v>38</v>
      </c>
      <c r="G107" s="76" t="s">
        <v>38</v>
      </c>
      <c r="H107" s="76" t="s">
        <v>38</v>
      </c>
      <c r="I107" s="312">
        <v>0</v>
      </c>
      <c r="J107" s="313">
        <v>0</v>
      </c>
      <c r="K107" s="171">
        <v>0</v>
      </c>
      <c r="L107" s="79">
        <v>0</v>
      </c>
      <c r="M107" s="218">
        <f t="shared" si="63"/>
        <v>0</v>
      </c>
      <c r="N107" s="81">
        <v>0</v>
      </c>
      <c r="O107" s="81">
        <v>0</v>
      </c>
      <c r="P107" s="82">
        <f t="shared" si="64"/>
        <v>0</v>
      </c>
      <c r="Q107" s="83">
        <f>+P107/20</f>
        <v>0</v>
      </c>
      <c r="R107" s="84">
        <v>72</v>
      </c>
      <c r="S107" s="83">
        <f>+R107/8</f>
        <v>9</v>
      </c>
      <c r="T107" s="85"/>
      <c r="U107" s="85">
        <v>0</v>
      </c>
      <c r="V107" s="85">
        <f t="shared" si="65"/>
        <v>0</v>
      </c>
      <c r="W107" s="78">
        <f t="shared" si="45"/>
        <v>0</v>
      </c>
      <c r="X107" s="87">
        <f t="shared" si="46"/>
        <v>0</v>
      </c>
      <c r="Y107" s="88">
        <f t="shared" si="47"/>
        <v>0</v>
      </c>
      <c r="Z107" s="89">
        <f>Q107-M107</f>
        <v>0</v>
      </c>
      <c r="AA107" s="89">
        <f>X107-M107</f>
        <v>0</v>
      </c>
      <c r="AB107" s="89">
        <f t="shared" si="60"/>
        <v>0</v>
      </c>
      <c r="AC107" s="145">
        <v>5</v>
      </c>
      <c r="AD107" s="196">
        <f>R107/8</f>
        <v>9</v>
      </c>
      <c r="AE107" s="206" t="s">
        <v>38</v>
      </c>
      <c r="AF107" s="206" t="s">
        <v>38</v>
      </c>
      <c r="AG107" s="206" t="s">
        <v>38</v>
      </c>
      <c r="AH107" s="206" t="s">
        <v>38</v>
      </c>
      <c r="AI107" s="206" t="s">
        <v>38</v>
      </c>
      <c r="AJ107" s="207">
        <v>0</v>
      </c>
      <c r="AK107" s="208">
        <v>4</v>
      </c>
      <c r="AL107" s="208">
        <v>9</v>
      </c>
      <c r="AM107" s="208">
        <v>9</v>
      </c>
      <c r="AN107" s="208">
        <v>9</v>
      </c>
      <c r="AO107" s="146" t="s">
        <v>163</v>
      </c>
      <c r="AP107" s="63"/>
    </row>
    <row r="108" spans="1:42" s="18" customFormat="1" ht="21.75" customHeight="1" x14ac:dyDescent="0.2">
      <c r="A108" s="209" t="s">
        <v>164</v>
      </c>
      <c r="B108" s="274"/>
      <c r="C108" s="149"/>
      <c r="D108" s="149">
        <f>SUM(D109:D120)</f>
        <v>0</v>
      </c>
      <c r="E108" s="149">
        <f t="shared" ref="E108:L108" si="67">SUM(E109:E120)</f>
        <v>0</v>
      </c>
      <c r="F108" s="149">
        <f t="shared" si="67"/>
        <v>0</v>
      </c>
      <c r="G108" s="149">
        <f t="shared" si="67"/>
        <v>0</v>
      </c>
      <c r="H108" s="149">
        <f t="shared" si="67"/>
        <v>0</v>
      </c>
      <c r="I108" s="149">
        <f t="shared" si="67"/>
        <v>0</v>
      </c>
      <c r="J108" s="149">
        <f t="shared" si="67"/>
        <v>52</v>
      </c>
      <c r="K108" s="149">
        <f t="shared" si="67"/>
        <v>52</v>
      </c>
      <c r="L108" s="149">
        <f t="shared" si="67"/>
        <v>0</v>
      </c>
      <c r="M108" s="65">
        <f t="shared" si="63"/>
        <v>52</v>
      </c>
      <c r="N108" s="150">
        <v>0</v>
      </c>
      <c r="O108" s="150">
        <v>0</v>
      </c>
      <c r="P108" s="150">
        <f t="shared" si="64"/>
        <v>0</v>
      </c>
      <c r="Q108" s="153">
        <v>0</v>
      </c>
      <c r="R108" s="153">
        <v>0</v>
      </c>
      <c r="S108" s="153">
        <f>+R108/8</f>
        <v>0</v>
      </c>
      <c r="T108" s="153">
        <v>0</v>
      </c>
      <c r="U108" s="153">
        <v>0</v>
      </c>
      <c r="V108" s="153">
        <f t="shared" si="65"/>
        <v>0</v>
      </c>
      <c r="W108" s="65">
        <v>0</v>
      </c>
      <c r="X108" s="155">
        <v>0</v>
      </c>
      <c r="Y108" s="155">
        <v>0</v>
      </c>
      <c r="Z108" s="70">
        <f>Q108-M108</f>
        <v>-52</v>
      </c>
      <c r="AA108" s="70">
        <f t="shared" ref="AA108:AA120" si="68">X108-M108</f>
        <v>-52</v>
      </c>
      <c r="AB108" s="65">
        <v>0</v>
      </c>
      <c r="AC108" s="122">
        <v>0</v>
      </c>
      <c r="AD108" s="65">
        <v>0</v>
      </c>
      <c r="AE108" s="155">
        <v>0</v>
      </c>
      <c r="AF108" s="155">
        <v>0</v>
      </c>
      <c r="AG108" s="155">
        <v>0</v>
      </c>
      <c r="AH108" s="155">
        <v>0</v>
      </c>
      <c r="AI108" s="155">
        <v>0</v>
      </c>
      <c r="AJ108" s="155">
        <v>0</v>
      </c>
      <c r="AK108" s="155">
        <v>0</v>
      </c>
      <c r="AL108" s="155">
        <v>0</v>
      </c>
      <c r="AM108" s="155">
        <v>0</v>
      </c>
      <c r="AN108" s="155">
        <v>0</v>
      </c>
      <c r="AO108" s="156"/>
      <c r="AP108" s="72"/>
    </row>
    <row r="109" spans="1:42" ht="21.75" customHeight="1" x14ac:dyDescent="0.2">
      <c r="A109" s="127" t="s">
        <v>169</v>
      </c>
      <c r="B109" s="272"/>
      <c r="C109" s="75" t="s">
        <v>38</v>
      </c>
      <c r="D109" s="75" t="s">
        <v>38</v>
      </c>
      <c r="E109" s="75" t="s">
        <v>38</v>
      </c>
      <c r="F109" s="75" t="s">
        <v>38</v>
      </c>
      <c r="G109" s="76" t="s">
        <v>38</v>
      </c>
      <c r="H109" s="76" t="s">
        <v>38</v>
      </c>
      <c r="I109" s="76" t="s">
        <v>38</v>
      </c>
      <c r="J109" s="77">
        <v>5</v>
      </c>
      <c r="K109" s="171">
        <f>SUM(C109:J109)</f>
        <v>5</v>
      </c>
      <c r="L109" s="79">
        <v>0</v>
      </c>
      <c r="M109" s="218">
        <f t="shared" si="63"/>
        <v>5</v>
      </c>
      <c r="N109" s="81" t="s">
        <v>38</v>
      </c>
      <c r="O109" s="81" t="s">
        <v>38</v>
      </c>
      <c r="P109" s="82" t="s">
        <v>38</v>
      </c>
      <c r="Q109" s="113" t="s">
        <v>38</v>
      </c>
      <c r="R109" s="114" t="s">
        <v>38</v>
      </c>
      <c r="S109" s="113" t="s">
        <v>38</v>
      </c>
      <c r="T109" s="85">
        <v>86</v>
      </c>
      <c r="U109" s="85">
        <v>0</v>
      </c>
      <c r="V109" s="85">
        <f t="shared" si="65"/>
        <v>86</v>
      </c>
      <c r="W109" s="78" t="s">
        <v>38</v>
      </c>
      <c r="X109" s="210">
        <f>V109/18</f>
        <v>4.7777777777777777</v>
      </c>
      <c r="Y109" s="88">
        <v>0</v>
      </c>
      <c r="Z109" s="126">
        <v>0</v>
      </c>
      <c r="AA109" s="89">
        <f t="shared" si="68"/>
        <v>-0.22222222222222232</v>
      </c>
      <c r="AB109" s="126">
        <v>0</v>
      </c>
      <c r="AC109" s="211">
        <v>0</v>
      </c>
      <c r="AD109" s="128" t="s">
        <v>38</v>
      </c>
      <c r="AE109" s="94" t="s">
        <v>38</v>
      </c>
      <c r="AF109" s="94" t="s">
        <v>38</v>
      </c>
      <c r="AG109" s="94" t="s">
        <v>38</v>
      </c>
      <c r="AH109" s="94" t="s">
        <v>38</v>
      </c>
      <c r="AI109" s="94" t="s">
        <v>38</v>
      </c>
      <c r="AJ109" s="147" t="s">
        <v>38</v>
      </c>
      <c r="AK109" s="147" t="s">
        <v>38</v>
      </c>
      <c r="AL109" s="147" t="s">
        <v>38</v>
      </c>
      <c r="AM109" s="147" t="s">
        <v>38</v>
      </c>
      <c r="AN109" s="147" t="s">
        <v>38</v>
      </c>
      <c r="AO109" s="146"/>
      <c r="AP109" s="63"/>
    </row>
    <row r="110" spans="1:42" ht="21.75" customHeight="1" x14ac:dyDescent="0.2">
      <c r="A110" s="127" t="s">
        <v>170</v>
      </c>
      <c r="B110" s="272"/>
      <c r="C110" s="75" t="s">
        <v>38</v>
      </c>
      <c r="D110" s="75" t="s">
        <v>38</v>
      </c>
      <c r="E110" s="75" t="s">
        <v>38</v>
      </c>
      <c r="F110" s="75" t="s">
        <v>38</v>
      </c>
      <c r="G110" s="76" t="s">
        <v>38</v>
      </c>
      <c r="H110" s="76" t="s">
        <v>38</v>
      </c>
      <c r="I110" s="76" t="s">
        <v>38</v>
      </c>
      <c r="J110" s="77">
        <v>5</v>
      </c>
      <c r="K110" s="171">
        <f t="shared" ref="K110:K120" si="69">SUM(C110:J110)</f>
        <v>5</v>
      </c>
      <c r="L110" s="79">
        <v>0</v>
      </c>
      <c r="M110" s="218">
        <f t="shared" si="63"/>
        <v>5</v>
      </c>
      <c r="N110" s="81" t="s">
        <v>38</v>
      </c>
      <c r="O110" s="81" t="s">
        <v>38</v>
      </c>
      <c r="P110" s="82" t="s">
        <v>38</v>
      </c>
      <c r="Q110" s="113" t="s">
        <v>38</v>
      </c>
      <c r="R110" s="114" t="s">
        <v>38</v>
      </c>
      <c r="S110" s="113" t="s">
        <v>38</v>
      </c>
      <c r="T110" s="85">
        <v>94</v>
      </c>
      <c r="U110" s="85">
        <v>0</v>
      </c>
      <c r="V110" s="85">
        <f t="shared" si="65"/>
        <v>94</v>
      </c>
      <c r="W110" s="78" t="s">
        <v>38</v>
      </c>
      <c r="X110" s="210">
        <f t="shared" ref="X110:X120" si="70">V110/18</f>
        <v>5.2222222222222223</v>
      </c>
      <c r="Y110" s="88">
        <v>0</v>
      </c>
      <c r="Z110" s="126">
        <v>0</v>
      </c>
      <c r="AA110" s="89">
        <f t="shared" si="68"/>
        <v>0.22222222222222232</v>
      </c>
      <c r="AB110" s="126">
        <v>0</v>
      </c>
      <c r="AC110" s="211">
        <v>0</v>
      </c>
      <c r="AD110" s="128" t="s">
        <v>38</v>
      </c>
      <c r="AE110" s="94" t="s">
        <v>38</v>
      </c>
      <c r="AF110" s="94" t="s">
        <v>38</v>
      </c>
      <c r="AG110" s="94" t="s">
        <v>38</v>
      </c>
      <c r="AH110" s="94" t="s">
        <v>38</v>
      </c>
      <c r="AI110" s="94" t="s">
        <v>38</v>
      </c>
      <c r="AJ110" s="147" t="s">
        <v>38</v>
      </c>
      <c r="AK110" s="147" t="s">
        <v>38</v>
      </c>
      <c r="AL110" s="147" t="s">
        <v>38</v>
      </c>
      <c r="AM110" s="147" t="s">
        <v>38</v>
      </c>
      <c r="AN110" s="147" t="s">
        <v>38</v>
      </c>
      <c r="AO110" s="146"/>
      <c r="AP110" s="63"/>
    </row>
    <row r="111" spans="1:42" ht="21.75" customHeight="1" x14ac:dyDescent="0.2">
      <c r="A111" s="127" t="s">
        <v>171</v>
      </c>
      <c r="B111" s="272"/>
      <c r="C111" s="75" t="s">
        <v>38</v>
      </c>
      <c r="D111" s="75" t="s">
        <v>38</v>
      </c>
      <c r="E111" s="75" t="s">
        <v>38</v>
      </c>
      <c r="F111" s="75" t="s">
        <v>38</v>
      </c>
      <c r="G111" s="76" t="s">
        <v>38</v>
      </c>
      <c r="H111" s="76" t="s">
        <v>38</v>
      </c>
      <c r="I111" s="76" t="s">
        <v>38</v>
      </c>
      <c r="J111" s="77">
        <v>3</v>
      </c>
      <c r="K111" s="171">
        <f t="shared" si="69"/>
        <v>3</v>
      </c>
      <c r="L111" s="79">
        <v>0</v>
      </c>
      <c r="M111" s="218">
        <f t="shared" si="63"/>
        <v>3</v>
      </c>
      <c r="N111" s="81" t="s">
        <v>38</v>
      </c>
      <c r="O111" s="81" t="s">
        <v>38</v>
      </c>
      <c r="P111" s="82" t="s">
        <v>38</v>
      </c>
      <c r="Q111" s="113" t="s">
        <v>38</v>
      </c>
      <c r="R111" s="114" t="s">
        <v>38</v>
      </c>
      <c r="S111" s="113" t="s">
        <v>38</v>
      </c>
      <c r="T111" s="85">
        <v>56</v>
      </c>
      <c r="U111" s="85">
        <v>0</v>
      </c>
      <c r="V111" s="85">
        <f t="shared" si="65"/>
        <v>56</v>
      </c>
      <c r="W111" s="78" t="s">
        <v>38</v>
      </c>
      <c r="X111" s="210">
        <f t="shared" si="70"/>
        <v>3.1111111111111112</v>
      </c>
      <c r="Y111" s="88">
        <v>0</v>
      </c>
      <c r="Z111" s="126">
        <v>0</v>
      </c>
      <c r="AA111" s="89">
        <f t="shared" si="68"/>
        <v>0.11111111111111116</v>
      </c>
      <c r="AB111" s="126">
        <v>0</v>
      </c>
      <c r="AC111" s="211">
        <v>0</v>
      </c>
      <c r="AD111" s="128" t="s">
        <v>38</v>
      </c>
      <c r="AE111" s="94" t="s">
        <v>38</v>
      </c>
      <c r="AF111" s="94" t="s">
        <v>38</v>
      </c>
      <c r="AG111" s="94" t="s">
        <v>38</v>
      </c>
      <c r="AH111" s="94" t="s">
        <v>38</v>
      </c>
      <c r="AI111" s="94" t="s">
        <v>38</v>
      </c>
      <c r="AJ111" s="147" t="s">
        <v>38</v>
      </c>
      <c r="AK111" s="147" t="s">
        <v>38</v>
      </c>
      <c r="AL111" s="147" t="s">
        <v>38</v>
      </c>
      <c r="AM111" s="147" t="s">
        <v>38</v>
      </c>
      <c r="AN111" s="147" t="s">
        <v>38</v>
      </c>
      <c r="AO111" s="146"/>
      <c r="AP111" s="63"/>
    </row>
    <row r="112" spans="1:42" ht="21.75" customHeight="1" x14ac:dyDescent="0.2">
      <c r="A112" s="127" t="s">
        <v>172</v>
      </c>
      <c r="B112" s="272"/>
      <c r="C112" s="75" t="s">
        <v>38</v>
      </c>
      <c r="D112" s="75" t="s">
        <v>38</v>
      </c>
      <c r="E112" s="75" t="s">
        <v>38</v>
      </c>
      <c r="F112" s="75" t="s">
        <v>38</v>
      </c>
      <c r="G112" s="76" t="s">
        <v>38</v>
      </c>
      <c r="H112" s="76" t="s">
        <v>38</v>
      </c>
      <c r="I112" s="76" t="s">
        <v>38</v>
      </c>
      <c r="J112" s="77">
        <v>3</v>
      </c>
      <c r="K112" s="171">
        <f t="shared" si="69"/>
        <v>3</v>
      </c>
      <c r="L112" s="79">
        <v>0</v>
      </c>
      <c r="M112" s="218">
        <f t="shared" si="63"/>
        <v>3</v>
      </c>
      <c r="N112" s="81" t="s">
        <v>38</v>
      </c>
      <c r="O112" s="81" t="s">
        <v>38</v>
      </c>
      <c r="P112" s="82" t="s">
        <v>38</v>
      </c>
      <c r="Q112" s="113" t="s">
        <v>38</v>
      </c>
      <c r="R112" s="114" t="s">
        <v>38</v>
      </c>
      <c r="S112" s="113" t="s">
        <v>38</v>
      </c>
      <c r="T112" s="85">
        <v>43</v>
      </c>
      <c r="U112" s="85">
        <v>0</v>
      </c>
      <c r="V112" s="85">
        <f t="shared" si="65"/>
        <v>43</v>
      </c>
      <c r="W112" s="78" t="s">
        <v>38</v>
      </c>
      <c r="X112" s="210">
        <f t="shared" si="70"/>
        <v>2.3888888888888888</v>
      </c>
      <c r="Y112" s="88">
        <v>0</v>
      </c>
      <c r="Z112" s="126">
        <v>0</v>
      </c>
      <c r="AA112" s="89">
        <f t="shared" si="68"/>
        <v>-0.61111111111111116</v>
      </c>
      <c r="AB112" s="126">
        <v>0</v>
      </c>
      <c r="AC112" s="211">
        <v>0</v>
      </c>
      <c r="AD112" s="128" t="s">
        <v>38</v>
      </c>
      <c r="AE112" s="94" t="s">
        <v>38</v>
      </c>
      <c r="AF112" s="94" t="s">
        <v>38</v>
      </c>
      <c r="AG112" s="94" t="s">
        <v>38</v>
      </c>
      <c r="AH112" s="94" t="s">
        <v>38</v>
      </c>
      <c r="AI112" s="94" t="s">
        <v>38</v>
      </c>
      <c r="AJ112" s="147" t="s">
        <v>38</v>
      </c>
      <c r="AK112" s="147" t="s">
        <v>38</v>
      </c>
      <c r="AL112" s="147" t="s">
        <v>38</v>
      </c>
      <c r="AM112" s="147" t="s">
        <v>38</v>
      </c>
      <c r="AN112" s="147" t="s">
        <v>38</v>
      </c>
      <c r="AO112" s="146"/>
      <c r="AP112" s="63"/>
    </row>
    <row r="113" spans="1:42" ht="21.75" customHeight="1" x14ac:dyDescent="0.2">
      <c r="A113" s="127" t="s">
        <v>173</v>
      </c>
      <c r="B113" s="272"/>
      <c r="C113" s="75" t="s">
        <v>38</v>
      </c>
      <c r="D113" s="75" t="s">
        <v>38</v>
      </c>
      <c r="E113" s="75" t="s">
        <v>38</v>
      </c>
      <c r="F113" s="75" t="s">
        <v>38</v>
      </c>
      <c r="G113" s="76" t="s">
        <v>38</v>
      </c>
      <c r="H113" s="76" t="s">
        <v>38</v>
      </c>
      <c r="I113" s="76" t="s">
        <v>38</v>
      </c>
      <c r="J113" s="77">
        <v>4</v>
      </c>
      <c r="K113" s="171">
        <f t="shared" si="69"/>
        <v>4</v>
      </c>
      <c r="L113" s="79">
        <v>0</v>
      </c>
      <c r="M113" s="218">
        <f t="shared" si="63"/>
        <v>4</v>
      </c>
      <c r="N113" s="81" t="s">
        <v>38</v>
      </c>
      <c r="O113" s="81" t="s">
        <v>38</v>
      </c>
      <c r="P113" s="82" t="s">
        <v>38</v>
      </c>
      <c r="Q113" s="113" t="s">
        <v>38</v>
      </c>
      <c r="R113" s="114" t="s">
        <v>38</v>
      </c>
      <c r="S113" s="113" t="s">
        <v>38</v>
      </c>
      <c r="T113" s="85">
        <v>70</v>
      </c>
      <c r="U113" s="85">
        <v>0</v>
      </c>
      <c r="V113" s="85">
        <f t="shared" si="65"/>
        <v>70</v>
      </c>
      <c r="W113" s="78" t="s">
        <v>38</v>
      </c>
      <c r="X113" s="210">
        <f t="shared" si="70"/>
        <v>3.8888888888888888</v>
      </c>
      <c r="Y113" s="88">
        <v>0</v>
      </c>
      <c r="Z113" s="126">
        <v>0</v>
      </c>
      <c r="AA113" s="89">
        <f t="shared" si="68"/>
        <v>-0.11111111111111116</v>
      </c>
      <c r="AB113" s="126">
        <v>0</v>
      </c>
      <c r="AC113" s="211">
        <v>0</v>
      </c>
      <c r="AD113" s="128" t="s">
        <v>38</v>
      </c>
      <c r="AE113" s="94" t="s">
        <v>38</v>
      </c>
      <c r="AF113" s="94" t="s">
        <v>38</v>
      </c>
      <c r="AG113" s="94" t="s">
        <v>38</v>
      </c>
      <c r="AH113" s="94" t="s">
        <v>38</v>
      </c>
      <c r="AI113" s="94" t="s">
        <v>38</v>
      </c>
      <c r="AJ113" s="147" t="s">
        <v>38</v>
      </c>
      <c r="AK113" s="147" t="s">
        <v>38</v>
      </c>
      <c r="AL113" s="147" t="s">
        <v>38</v>
      </c>
      <c r="AM113" s="147" t="s">
        <v>38</v>
      </c>
      <c r="AN113" s="147" t="s">
        <v>38</v>
      </c>
      <c r="AO113" s="146"/>
      <c r="AP113" s="63"/>
    </row>
    <row r="114" spans="1:42" ht="21.75" customHeight="1" x14ac:dyDescent="0.2">
      <c r="A114" s="127" t="s">
        <v>174</v>
      </c>
      <c r="B114" s="272"/>
      <c r="C114" s="75" t="s">
        <v>38</v>
      </c>
      <c r="D114" s="75" t="s">
        <v>38</v>
      </c>
      <c r="E114" s="75" t="s">
        <v>38</v>
      </c>
      <c r="F114" s="75" t="s">
        <v>38</v>
      </c>
      <c r="G114" s="76" t="s">
        <v>38</v>
      </c>
      <c r="H114" s="76" t="s">
        <v>38</v>
      </c>
      <c r="I114" s="76" t="s">
        <v>38</v>
      </c>
      <c r="J114" s="77">
        <v>4</v>
      </c>
      <c r="K114" s="171">
        <f t="shared" si="69"/>
        <v>4</v>
      </c>
      <c r="L114" s="79">
        <v>0</v>
      </c>
      <c r="M114" s="218">
        <f t="shared" si="63"/>
        <v>4</v>
      </c>
      <c r="N114" s="81" t="s">
        <v>38</v>
      </c>
      <c r="O114" s="81" t="s">
        <v>38</v>
      </c>
      <c r="P114" s="82" t="s">
        <v>38</v>
      </c>
      <c r="Q114" s="113" t="s">
        <v>38</v>
      </c>
      <c r="R114" s="114" t="s">
        <v>38</v>
      </c>
      <c r="S114" s="113" t="s">
        <v>38</v>
      </c>
      <c r="T114" s="85">
        <v>26</v>
      </c>
      <c r="U114" s="85">
        <v>0</v>
      </c>
      <c r="V114" s="85">
        <f t="shared" si="65"/>
        <v>26</v>
      </c>
      <c r="W114" s="78" t="s">
        <v>38</v>
      </c>
      <c r="X114" s="210">
        <f t="shared" si="70"/>
        <v>1.4444444444444444</v>
      </c>
      <c r="Y114" s="88">
        <v>0</v>
      </c>
      <c r="Z114" s="126">
        <v>0</v>
      </c>
      <c r="AA114" s="89">
        <f t="shared" si="68"/>
        <v>-2.5555555555555554</v>
      </c>
      <c r="AB114" s="126">
        <v>0</v>
      </c>
      <c r="AC114" s="211">
        <v>0</v>
      </c>
      <c r="AD114" s="128" t="s">
        <v>38</v>
      </c>
      <c r="AE114" s="94" t="s">
        <v>38</v>
      </c>
      <c r="AF114" s="94" t="s">
        <v>38</v>
      </c>
      <c r="AG114" s="94" t="s">
        <v>38</v>
      </c>
      <c r="AH114" s="94" t="s">
        <v>38</v>
      </c>
      <c r="AI114" s="94" t="s">
        <v>38</v>
      </c>
      <c r="AJ114" s="147" t="s">
        <v>38</v>
      </c>
      <c r="AK114" s="147" t="s">
        <v>38</v>
      </c>
      <c r="AL114" s="147" t="s">
        <v>38</v>
      </c>
      <c r="AM114" s="147" t="s">
        <v>38</v>
      </c>
      <c r="AN114" s="147" t="s">
        <v>38</v>
      </c>
      <c r="AO114" s="146"/>
      <c r="AP114" s="63"/>
    </row>
    <row r="115" spans="1:42" ht="21.75" customHeight="1" x14ac:dyDescent="0.2">
      <c r="A115" s="127" t="s">
        <v>175</v>
      </c>
      <c r="B115" s="272"/>
      <c r="C115" s="75" t="s">
        <v>38</v>
      </c>
      <c r="D115" s="75" t="s">
        <v>38</v>
      </c>
      <c r="E115" s="75" t="s">
        <v>38</v>
      </c>
      <c r="F115" s="75" t="s">
        <v>38</v>
      </c>
      <c r="G115" s="76" t="s">
        <v>38</v>
      </c>
      <c r="H115" s="76" t="s">
        <v>38</v>
      </c>
      <c r="I115" s="76" t="s">
        <v>38</v>
      </c>
      <c r="J115" s="77">
        <v>2</v>
      </c>
      <c r="K115" s="171">
        <f t="shared" si="69"/>
        <v>2</v>
      </c>
      <c r="L115" s="79">
        <v>0</v>
      </c>
      <c r="M115" s="218">
        <f t="shared" si="63"/>
        <v>2</v>
      </c>
      <c r="N115" s="81" t="s">
        <v>38</v>
      </c>
      <c r="O115" s="81" t="s">
        <v>38</v>
      </c>
      <c r="P115" s="82" t="s">
        <v>38</v>
      </c>
      <c r="Q115" s="113" t="s">
        <v>38</v>
      </c>
      <c r="R115" s="114" t="s">
        <v>38</v>
      </c>
      <c r="S115" s="113" t="s">
        <v>38</v>
      </c>
      <c r="T115" s="85">
        <v>16</v>
      </c>
      <c r="U115" s="85">
        <v>0</v>
      </c>
      <c r="V115" s="85">
        <f t="shared" si="65"/>
        <v>16</v>
      </c>
      <c r="W115" s="78" t="s">
        <v>38</v>
      </c>
      <c r="X115" s="210">
        <f t="shared" si="70"/>
        <v>0.88888888888888884</v>
      </c>
      <c r="Y115" s="88">
        <v>0</v>
      </c>
      <c r="Z115" s="126">
        <v>0</v>
      </c>
      <c r="AA115" s="89">
        <f t="shared" si="68"/>
        <v>-1.1111111111111112</v>
      </c>
      <c r="AB115" s="126">
        <v>0</v>
      </c>
      <c r="AC115" s="211">
        <v>0</v>
      </c>
      <c r="AD115" s="128" t="s">
        <v>38</v>
      </c>
      <c r="AE115" s="94" t="s">
        <v>38</v>
      </c>
      <c r="AF115" s="94" t="s">
        <v>38</v>
      </c>
      <c r="AG115" s="94" t="s">
        <v>38</v>
      </c>
      <c r="AH115" s="94" t="s">
        <v>38</v>
      </c>
      <c r="AI115" s="94" t="s">
        <v>38</v>
      </c>
      <c r="AJ115" s="147" t="s">
        <v>38</v>
      </c>
      <c r="AK115" s="147" t="s">
        <v>38</v>
      </c>
      <c r="AL115" s="147" t="s">
        <v>38</v>
      </c>
      <c r="AM115" s="147" t="s">
        <v>38</v>
      </c>
      <c r="AN115" s="147" t="s">
        <v>38</v>
      </c>
      <c r="AO115" s="146"/>
      <c r="AP115" s="63"/>
    </row>
    <row r="116" spans="1:42" ht="21.75" customHeight="1" x14ac:dyDescent="0.2">
      <c r="A116" s="212" t="s">
        <v>176</v>
      </c>
      <c r="B116" s="272"/>
      <c r="C116" s="75"/>
      <c r="D116" s="75" t="s">
        <v>38</v>
      </c>
      <c r="E116" s="75" t="s">
        <v>38</v>
      </c>
      <c r="F116" s="75" t="s">
        <v>38</v>
      </c>
      <c r="G116" s="76" t="s">
        <v>38</v>
      </c>
      <c r="H116" s="76" t="s">
        <v>38</v>
      </c>
      <c r="I116" s="76" t="s">
        <v>38</v>
      </c>
      <c r="J116" s="77">
        <v>2</v>
      </c>
      <c r="K116" s="171">
        <f t="shared" si="69"/>
        <v>2</v>
      </c>
      <c r="L116" s="79">
        <v>0</v>
      </c>
      <c r="M116" s="218">
        <f t="shared" si="63"/>
        <v>2</v>
      </c>
      <c r="N116" s="81" t="s">
        <v>38</v>
      </c>
      <c r="O116" s="81" t="s">
        <v>38</v>
      </c>
      <c r="P116" s="82" t="s">
        <v>38</v>
      </c>
      <c r="Q116" s="113" t="s">
        <v>38</v>
      </c>
      <c r="R116" s="114" t="s">
        <v>38</v>
      </c>
      <c r="S116" s="113" t="s">
        <v>38</v>
      </c>
      <c r="T116" s="85">
        <v>7</v>
      </c>
      <c r="U116" s="85">
        <v>0</v>
      </c>
      <c r="V116" s="85">
        <f t="shared" si="65"/>
        <v>7</v>
      </c>
      <c r="W116" s="78" t="s">
        <v>38</v>
      </c>
      <c r="X116" s="213">
        <f>V116/18</f>
        <v>0.3888888888888889</v>
      </c>
      <c r="Y116" s="88">
        <v>0</v>
      </c>
      <c r="Z116" s="126">
        <v>0</v>
      </c>
      <c r="AA116" s="89">
        <f t="shared" si="68"/>
        <v>-1.6111111111111112</v>
      </c>
      <c r="AB116" s="126">
        <v>0</v>
      </c>
      <c r="AC116" s="211">
        <v>0</v>
      </c>
      <c r="AD116" s="128" t="s">
        <v>38</v>
      </c>
      <c r="AE116" s="94" t="s">
        <v>38</v>
      </c>
      <c r="AF116" s="94" t="s">
        <v>38</v>
      </c>
      <c r="AG116" s="94" t="s">
        <v>38</v>
      </c>
      <c r="AH116" s="94" t="s">
        <v>38</v>
      </c>
      <c r="AI116" s="94" t="s">
        <v>38</v>
      </c>
      <c r="AJ116" s="147" t="s">
        <v>38</v>
      </c>
      <c r="AK116" s="147" t="s">
        <v>38</v>
      </c>
      <c r="AL116" s="147" t="s">
        <v>38</v>
      </c>
      <c r="AM116" s="147" t="s">
        <v>38</v>
      </c>
      <c r="AN116" s="147" t="s">
        <v>38</v>
      </c>
      <c r="AO116" s="146"/>
      <c r="AP116" s="63"/>
    </row>
    <row r="117" spans="1:42" ht="21.75" customHeight="1" x14ac:dyDescent="0.2">
      <c r="A117" s="127" t="s">
        <v>179</v>
      </c>
      <c r="B117" s="272"/>
      <c r="C117" s="75" t="s">
        <v>38</v>
      </c>
      <c r="D117" s="75" t="s">
        <v>38</v>
      </c>
      <c r="E117" s="75" t="s">
        <v>38</v>
      </c>
      <c r="F117" s="75" t="s">
        <v>38</v>
      </c>
      <c r="G117" s="76" t="s">
        <v>38</v>
      </c>
      <c r="H117" s="76" t="s">
        <v>38</v>
      </c>
      <c r="I117" s="76" t="s">
        <v>38</v>
      </c>
      <c r="J117" s="77">
        <v>2</v>
      </c>
      <c r="K117" s="171">
        <f t="shared" si="69"/>
        <v>2</v>
      </c>
      <c r="L117" s="79">
        <v>0</v>
      </c>
      <c r="M117" s="218">
        <f t="shared" si="63"/>
        <v>2</v>
      </c>
      <c r="N117" s="81" t="s">
        <v>38</v>
      </c>
      <c r="O117" s="81" t="s">
        <v>38</v>
      </c>
      <c r="P117" s="82" t="s">
        <v>38</v>
      </c>
      <c r="Q117" s="113" t="s">
        <v>38</v>
      </c>
      <c r="R117" s="114" t="s">
        <v>38</v>
      </c>
      <c r="S117" s="113" t="s">
        <v>38</v>
      </c>
      <c r="T117" s="85">
        <f>16+9</f>
        <v>25</v>
      </c>
      <c r="U117" s="85">
        <v>0</v>
      </c>
      <c r="V117" s="85">
        <f t="shared" si="65"/>
        <v>25</v>
      </c>
      <c r="W117" s="78" t="s">
        <v>38</v>
      </c>
      <c r="X117" s="210">
        <f t="shared" si="70"/>
        <v>1.3888888888888888</v>
      </c>
      <c r="Y117" s="88">
        <v>0</v>
      </c>
      <c r="Z117" s="126">
        <v>0</v>
      </c>
      <c r="AA117" s="89">
        <f t="shared" si="68"/>
        <v>-0.61111111111111116</v>
      </c>
      <c r="AB117" s="126">
        <v>0</v>
      </c>
      <c r="AC117" s="211">
        <v>0</v>
      </c>
      <c r="AD117" s="128" t="s">
        <v>38</v>
      </c>
      <c r="AE117" s="94" t="s">
        <v>38</v>
      </c>
      <c r="AF117" s="94" t="s">
        <v>38</v>
      </c>
      <c r="AG117" s="94" t="s">
        <v>38</v>
      </c>
      <c r="AH117" s="94" t="s">
        <v>38</v>
      </c>
      <c r="AI117" s="94" t="s">
        <v>38</v>
      </c>
      <c r="AJ117" s="147" t="s">
        <v>38</v>
      </c>
      <c r="AK117" s="147" t="s">
        <v>38</v>
      </c>
      <c r="AL117" s="147" t="s">
        <v>38</v>
      </c>
      <c r="AM117" s="147" t="s">
        <v>38</v>
      </c>
      <c r="AN117" s="147" t="s">
        <v>38</v>
      </c>
      <c r="AO117" s="146"/>
      <c r="AP117" s="63"/>
    </row>
    <row r="118" spans="1:42" ht="21.75" customHeight="1" x14ac:dyDescent="0.2">
      <c r="A118" s="127" t="s">
        <v>177</v>
      </c>
      <c r="B118" s="272"/>
      <c r="C118" s="75" t="s">
        <v>38</v>
      </c>
      <c r="D118" s="75" t="s">
        <v>38</v>
      </c>
      <c r="E118" s="75" t="s">
        <v>38</v>
      </c>
      <c r="F118" s="75" t="s">
        <v>38</v>
      </c>
      <c r="G118" s="76" t="s">
        <v>38</v>
      </c>
      <c r="H118" s="76" t="s">
        <v>38</v>
      </c>
      <c r="I118" s="76" t="s">
        <v>38</v>
      </c>
      <c r="J118" s="77">
        <v>4</v>
      </c>
      <c r="K118" s="171">
        <f t="shared" si="69"/>
        <v>4</v>
      </c>
      <c r="L118" s="79">
        <v>0</v>
      </c>
      <c r="M118" s="218">
        <f t="shared" si="63"/>
        <v>4</v>
      </c>
      <c r="N118" s="81" t="s">
        <v>38</v>
      </c>
      <c r="O118" s="81" t="s">
        <v>38</v>
      </c>
      <c r="P118" s="82" t="s">
        <v>38</v>
      </c>
      <c r="Q118" s="113" t="s">
        <v>38</v>
      </c>
      <c r="R118" s="114" t="s">
        <v>38</v>
      </c>
      <c r="S118" s="113" t="s">
        <v>38</v>
      </c>
      <c r="T118" s="85">
        <v>32</v>
      </c>
      <c r="U118" s="85">
        <v>0</v>
      </c>
      <c r="V118" s="85">
        <f t="shared" si="65"/>
        <v>32</v>
      </c>
      <c r="W118" s="78" t="s">
        <v>38</v>
      </c>
      <c r="X118" s="210">
        <f t="shared" si="70"/>
        <v>1.7777777777777777</v>
      </c>
      <c r="Y118" s="88">
        <v>0</v>
      </c>
      <c r="Z118" s="126">
        <v>0</v>
      </c>
      <c r="AA118" s="89">
        <f t="shared" si="68"/>
        <v>-2.2222222222222223</v>
      </c>
      <c r="AB118" s="126">
        <v>0</v>
      </c>
      <c r="AC118" s="211">
        <v>0</v>
      </c>
      <c r="AD118" s="128" t="s">
        <v>38</v>
      </c>
      <c r="AE118" s="94" t="s">
        <v>38</v>
      </c>
      <c r="AF118" s="94" t="s">
        <v>38</v>
      </c>
      <c r="AG118" s="94" t="s">
        <v>38</v>
      </c>
      <c r="AH118" s="94" t="s">
        <v>38</v>
      </c>
      <c r="AI118" s="94" t="s">
        <v>38</v>
      </c>
      <c r="AJ118" s="147" t="s">
        <v>38</v>
      </c>
      <c r="AK118" s="147" t="s">
        <v>38</v>
      </c>
      <c r="AL118" s="147" t="s">
        <v>38</v>
      </c>
      <c r="AM118" s="147" t="s">
        <v>38</v>
      </c>
      <c r="AN118" s="147" t="s">
        <v>38</v>
      </c>
      <c r="AO118" s="146"/>
      <c r="AP118" s="63"/>
    </row>
    <row r="119" spans="1:42" ht="21.75" customHeight="1" x14ac:dyDescent="0.2">
      <c r="A119" s="127" t="s">
        <v>178</v>
      </c>
      <c r="B119" s="272"/>
      <c r="C119" s="75" t="s">
        <v>38</v>
      </c>
      <c r="D119" s="75" t="s">
        <v>38</v>
      </c>
      <c r="E119" s="75" t="s">
        <v>38</v>
      </c>
      <c r="F119" s="75" t="s">
        <v>38</v>
      </c>
      <c r="G119" s="76" t="s">
        <v>38</v>
      </c>
      <c r="H119" s="76" t="s">
        <v>38</v>
      </c>
      <c r="I119" s="76" t="s">
        <v>38</v>
      </c>
      <c r="J119" s="77">
        <v>4</v>
      </c>
      <c r="K119" s="171">
        <f>SUM(C119:J119)</f>
        <v>4</v>
      </c>
      <c r="L119" s="79">
        <v>0</v>
      </c>
      <c r="M119" s="218">
        <f>K119-L119</f>
        <v>4</v>
      </c>
      <c r="N119" s="81" t="s">
        <v>38</v>
      </c>
      <c r="O119" s="81" t="s">
        <v>38</v>
      </c>
      <c r="P119" s="82" t="s">
        <v>38</v>
      </c>
      <c r="Q119" s="113" t="s">
        <v>38</v>
      </c>
      <c r="R119" s="114" t="s">
        <v>38</v>
      </c>
      <c r="S119" s="113" t="s">
        <v>38</v>
      </c>
      <c r="T119" s="85">
        <v>6</v>
      </c>
      <c r="U119" s="85">
        <v>0</v>
      </c>
      <c r="V119" s="85">
        <f>SUM(T119:U119)</f>
        <v>6</v>
      </c>
      <c r="W119" s="78" t="s">
        <v>38</v>
      </c>
      <c r="X119" s="213">
        <f t="shared" si="70"/>
        <v>0.33333333333333331</v>
      </c>
      <c r="Y119" s="88">
        <v>0</v>
      </c>
      <c r="Z119" s="126">
        <v>0</v>
      </c>
      <c r="AA119" s="89">
        <f>X119-M119</f>
        <v>-3.6666666666666665</v>
      </c>
      <c r="AB119" s="126">
        <v>0</v>
      </c>
      <c r="AC119" s="211">
        <v>0</v>
      </c>
      <c r="AD119" s="128" t="s">
        <v>38</v>
      </c>
      <c r="AE119" s="94" t="s">
        <v>38</v>
      </c>
      <c r="AF119" s="94" t="s">
        <v>38</v>
      </c>
      <c r="AG119" s="94" t="s">
        <v>38</v>
      </c>
      <c r="AH119" s="94" t="s">
        <v>38</v>
      </c>
      <c r="AI119" s="94" t="s">
        <v>38</v>
      </c>
      <c r="AJ119" s="147" t="s">
        <v>38</v>
      </c>
      <c r="AK119" s="147" t="s">
        <v>38</v>
      </c>
      <c r="AL119" s="147" t="s">
        <v>38</v>
      </c>
      <c r="AM119" s="147" t="s">
        <v>38</v>
      </c>
      <c r="AN119" s="147" t="s">
        <v>38</v>
      </c>
      <c r="AO119" s="146"/>
      <c r="AP119" s="63"/>
    </row>
    <row r="120" spans="1:42" ht="21.75" customHeight="1" x14ac:dyDescent="0.2">
      <c r="A120" s="127" t="s">
        <v>180</v>
      </c>
      <c r="B120" s="272"/>
      <c r="C120" s="75" t="s">
        <v>38</v>
      </c>
      <c r="D120" s="75" t="s">
        <v>38</v>
      </c>
      <c r="E120" s="75" t="s">
        <v>38</v>
      </c>
      <c r="F120" s="75" t="s">
        <v>38</v>
      </c>
      <c r="G120" s="76" t="s">
        <v>38</v>
      </c>
      <c r="H120" s="76" t="s">
        <v>38</v>
      </c>
      <c r="I120" s="76" t="s">
        <v>38</v>
      </c>
      <c r="J120" s="77">
        <v>14</v>
      </c>
      <c r="K120" s="171">
        <f t="shared" si="69"/>
        <v>14</v>
      </c>
      <c r="L120" s="79">
        <v>0</v>
      </c>
      <c r="M120" s="218">
        <f t="shared" si="63"/>
        <v>14</v>
      </c>
      <c r="N120" s="81" t="s">
        <v>38</v>
      </c>
      <c r="O120" s="81" t="s">
        <v>38</v>
      </c>
      <c r="P120" s="82" t="s">
        <v>38</v>
      </c>
      <c r="Q120" s="113" t="s">
        <v>38</v>
      </c>
      <c r="R120" s="114" t="s">
        <v>38</v>
      </c>
      <c r="S120" s="113" t="s">
        <v>38</v>
      </c>
      <c r="T120" s="85">
        <v>6</v>
      </c>
      <c r="U120" s="85">
        <v>0</v>
      </c>
      <c r="V120" s="85">
        <f t="shared" si="65"/>
        <v>6</v>
      </c>
      <c r="W120" s="78" t="s">
        <v>38</v>
      </c>
      <c r="X120" s="213">
        <f t="shared" si="70"/>
        <v>0.33333333333333331</v>
      </c>
      <c r="Y120" s="88">
        <v>0</v>
      </c>
      <c r="Z120" s="126">
        <v>0</v>
      </c>
      <c r="AA120" s="89">
        <f t="shared" si="68"/>
        <v>-13.666666666666666</v>
      </c>
      <c r="AB120" s="126">
        <v>0</v>
      </c>
      <c r="AC120" s="211">
        <v>0</v>
      </c>
      <c r="AD120" s="128" t="s">
        <v>38</v>
      </c>
      <c r="AE120" s="94" t="s">
        <v>38</v>
      </c>
      <c r="AF120" s="94" t="s">
        <v>38</v>
      </c>
      <c r="AG120" s="94" t="s">
        <v>38</v>
      </c>
      <c r="AH120" s="94" t="s">
        <v>38</v>
      </c>
      <c r="AI120" s="94" t="s">
        <v>38</v>
      </c>
      <c r="AJ120" s="147" t="s">
        <v>38</v>
      </c>
      <c r="AK120" s="147" t="s">
        <v>38</v>
      </c>
      <c r="AL120" s="147" t="s">
        <v>38</v>
      </c>
      <c r="AM120" s="147" t="s">
        <v>38</v>
      </c>
      <c r="AN120" s="147" t="s">
        <v>38</v>
      </c>
      <c r="AO120" s="146"/>
      <c r="AP120" s="63"/>
    </row>
    <row r="121" spans="1:42" s="58" customFormat="1" ht="21.75" customHeight="1" x14ac:dyDescent="0.2">
      <c r="A121" s="214" t="s">
        <v>202</v>
      </c>
      <c r="B121" s="275"/>
      <c r="C121" s="215">
        <f>SUM(C122:C127)</f>
        <v>0</v>
      </c>
      <c r="D121" s="215">
        <f t="shared" ref="D121:AN121" si="71">SUM(D122:D127)</f>
        <v>0</v>
      </c>
      <c r="E121" s="215">
        <f t="shared" si="71"/>
        <v>0</v>
      </c>
      <c r="F121" s="215">
        <f t="shared" si="71"/>
        <v>0</v>
      </c>
      <c r="G121" s="215">
        <f t="shared" si="71"/>
        <v>0</v>
      </c>
      <c r="H121" s="215">
        <f t="shared" si="71"/>
        <v>0</v>
      </c>
      <c r="I121" s="215">
        <f t="shared" si="71"/>
        <v>0</v>
      </c>
      <c r="J121" s="215">
        <f t="shared" si="71"/>
        <v>0</v>
      </c>
      <c r="K121" s="215">
        <f t="shared" si="71"/>
        <v>0</v>
      </c>
      <c r="L121" s="215">
        <f t="shared" si="71"/>
        <v>0</v>
      </c>
      <c r="M121" s="215">
        <f t="shared" si="71"/>
        <v>0</v>
      </c>
      <c r="N121" s="215">
        <f t="shared" si="71"/>
        <v>0</v>
      </c>
      <c r="O121" s="215">
        <f t="shared" si="71"/>
        <v>0</v>
      </c>
      <c r="P121" s="215">
        <f t="shared" si="71"/>
        <v>0</v>
      </c>
      <c r="Q121" s="215">
        <f t="shared" si="71"/>
        <v>0</v>
      </c>
      <c r="R121" s="215">
        <f t="shared" si="71"/>
        <v>540</v>
      </c>
      <c r="S121" s="215">
        <f t="shared" si="71"/>
        <v>18</v>
      </c>
      <c r="T121" s="215">
        <f t="shared" si="71"/>
        <v>0</v>
      </c>
      <c r="U121" s="215">
        <f t="shared" si="71"/>
        <v>0</v>
      </c>
      <c r="V121" s="215">
        <f t="shared" si="71"/>
        <v>0</v>
      </c>
      <c r="W121" s="215">
        <f t="shared" si="71"/>
        <v>0</v>
      </c>
      <c r="X121" s="215">
        <f t="shared" si="71"/>
        <v>0</v>
      </c>
      <c r="Y121" s="215">
        <f t="shared" si="71"/>
        <v>0</v>
      </c>
      <c r="Z121" s="215">
        <f t="shared" si="71"/>
        <v>0</v>
      </c>
      <c r="AA121" s="215">
        <f t="shared" si="71"/>
        <v>0</v>
      </c>
      <c r="AB121" s="215">
        <f t="shared" si="71"/>
        <v>0</v>
      </c>
      <c r="AC121" s="215">
        <f t="shared" si="71"/>
        <v>0</v>
      </c>
      <c r="AD121" s="215">
        <f t="shared" si="71"/>
        <v>0</v>
      </c>
      <c r="AE121" s="215">
        <f t="shared" si="71"/>
        <v>0</v>
      </c>
      <c r="AF121" s="215">
        <f t="shared" si="71"/>
        <v>0</v>
      </c>
      <c r="AG121" s="215">
        <f t="shared" si="71"/>
        <v>0</v>
      </c>
      <c r="AH121" s="215">
        <f t="shared" si="71"/>
        <v>0</v>
      </c>
      <c r="AI121" s="215">
        <f t="shared" si="71"/>
        <v>0</v>
      </c>
      <c r="AJ121" s="215">
        <f t="shared" si="71"/>
        <v>0</v>
      </c>
      <c r="AK121" s="215">
        <f t="shared" si="71"/>
        <v>18</v>
      </c>
      <c r="AL121" s="215">
        <f t="shared" si="71"/>
        <v>17</v>
      </c>
      <c r="AM121" s="215">
        <f t="shared" si="71"/>
        <v>7</v>
      </c>
      <c r="AN121" s="215">
        <f t="shared" si="71"/>
        <v>0</v>
      </c>
      <c r="AO121" s="216"/>
      <c r="AP121" s="217"/>
    </row>
    <row r="122" spans="1:42" ht="21.75" customHeight="1" x14ac:dyDescent="0.55000000000000004">
      <c r="A122" s="129" t="s">
        <v>10</v>
      </c>
      <c r="B122" s="272"/>
      <c r="C122" s="75">
        <v>0</v>
      </c>
      <c r="D122" s="75">
        <v>0</v>
      </c>
      <c r="E122" s="75">
        <v>0</v>
      </c>
      <c r="F122" s="75">
        <v>0</v>
      </c>
      <c r="G122" s="76">
        <v>0</v>
      </c>
      <c r="H122" s="76">
        <v>0</v>
      </c>
      <c r="I122" s="76">
        <v>0</v>
      </c>
      <c r="J122" s="77">
        <v>0</v>
      </c>
      <c r="K122" s="171">
        <v>0</v>
      </c>
      <c r="L122" s="164">
        <v>0</v>
      </c>
      <c r="M122" s="218">
        <f t="shared" si="63"/>
        <v>0</v>
      </c>
      <c r="N122" s="81" t="s">
        <v>38</v>
      </c>
      <c r="O122" s="81" t="s">
        <v>38</v>
      </c>
      <c r="P122" s="82" t="s">
        <v>38</v>
      </c>
      <c r="Q122" s="113" t="s">
        <v>38</v>
      </c>
      <c r="R122" s="114">
        <v>90</v>
      </c>
      <c r="S122" s="113">
        <f t="shared" ref="S122:S127" si="72">R122/30</f>
        <v>3</v>
      </c>
      <c r="T122" s="85">
        <v>0</v>
      </c>
      <c r="U122" s="85">
        <v>0</v>
      </c>
      <c r="V122" s="85">
        <v>0</v>
      </c>
      <c r="W122" s="78">
        <v>0</v>
      </c>
      <c r="X122" s="210">
        <v>0</v>
      </c>
      <c r="Y122" s="88">
        <v>0</v>
      </c>
      <c r="Z122" s="126">
        <v>0</v>
      </c>
      <c r="AA122" s="126">
        <v>0</v>
      </c>
      <c r="AB122" s="126">
        <v>0</v>
      </c>
      <c r="AC122" s="211">
        <v>0</v>
      </c>
      <c r="AD122" s="219">
        <v>0</v>
      </c>
      <c r="AE122" s="220">
        <v>0</v>
      </c>
      <c r="AF122" s="220">
        <v>0</v>
      </c>
      <c r="AG122" s="220">
        <v>0</v>
      </c>
      <c r="AH122" s="220">
        <v>0</v>
      </c>
      <c r="AI122" s="220">
        <v>0</v>
      </c>
      <c r="AJ122" s="234">
        <v>0</v>
      </c>
      <c r="AK122" s="234">
        <v>2</v>
      </c>
      <c r="AL122" s="234">
        <v>2</v>
      </c>
      <c r="AM122" s="234">
        <v>2</v>
      </c>
      <c r="AN122" s="234">
        <v>0</v>
      </c>
      <c r="AO122" s="146" t="s">
        <v>206</v>
      </c>
      <c r="AP122" s="63"/>
    </row>
    <row r="123" spans="1:42" ht="21.75" customHeight="1" x14ac:dyDescent="0.55000000000000004">
      <c r="A123" s="129" t="s">
        <v>11</v>
      </c>
      <c r="B123" s="272"/>
      <c r="C123" s="75">
        <v>0</v>
      </c>
      <c r="D123" s="75">
        <v>0</v>
      </c>
      <c r="E123" s="75">
        <v>0</v>
      </c>
      <c r="F123" s="75">
        <v>0</v>
      </c>
      <c r="G123" s="76">
        <v>0</v>
      </c>
      <c r="H123" s="76">
        <v>0</v>
      </c>
      <c r="I123" s="76">
        <v>0</v>
      </c>
      <c r="J123" s="77">
        <v>0</v>
      </c>
      <c r="K123" s="171">
        <v>0</v>
      </c>
      <c r="L123" s="164">
        <v>0</v>
      </c>
      <c r="M123" s="218">
        <f t="shared" si="63"/>
        <v>0</v>
      </c>
      <c r="N123" s="81" t="s">
        <v>38</v>
      </c>
      <c r="O123" s="81" t="s">
        <v>38</v>
      </c>
      <c r="P123" s="82" t="s">
        <v>38</v>
      </c>
      <c r="Q123" s="113" t="s">
        <v>38</v>
      </c>
      <c r="R123" s="114">
        <v>90</v>
      </c>
      <c r="S123" s="113">
        <f t="shared" si="72"/>
        <v>3</v>
      </c>
      <c r="T123" s="85">
        <v>0</v>
      </c>
      <c r="U123" s="85">
        <v>0</v>
      </c>
      <c r="V123" s="85">
        <v>0</v>
      </c>
      <c r="W123" s="78">
        <v>0</v>
      </c>
      <c r="X123" s="210">
        <v>0</v>
      </c>
      <c r="Y123" s="88">
        <v>0</v>
      </c>
      <c r="Z123" s="126">
        <v>0</v>
      </c>
      <c r="AA123" s="126">
        <v>0</v>
      </c>
      <c r="AB123" s="126">
        <v>0</v>
      </c>
      <c r="AC123" s="211">
        <v>0</v>
      </c>
      <c r="AD123" s="219">
        <v>0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234">
        <v>0</v>
      </c>
      <c r="AK123" s="234">
        <v>2</v>
      </c>
      <c r="AL123" s="234">
        <v>2</v>
      </c>
      <c r="AM123" s="234">
        <v>1</v>
      </c>
      <c r="AN123" s="234">
        <v>0</v>
      </c>
      <c r="AO123" s="146" t="s">
        <v>206</v>
      </c>
      <c r="AP123" s="63"/>
    </row>
    <row r="124" spans="1:42" ht="21.75" customHeight="1" x14ac:dyDescent="0.55000000000000004">
      <c r="A124" s="129" t="s">
        <v>201</v>
      </c>
      <c r="B124" s="272"/>
      <c r="C124" s="75">
        <v>0</v>
      </c>
      <c r="D124" s="75">
        <v>0</v>
      </c>
      <c r="E124" s="75">
        <v>0</v>
      </c>
      <c r="F124" s="75">
        <v>0</v>
      </c>
      <c r="G124" s="76">
        <v>0</v>
      </c>
      <c r="H124" s="76">
        <v>0</v>
      </c>
      <c r="I124" s="76">
        <v>0</v>
      </c>
      <c r="J124" s="77">
        <v>0</v>
      </c>
      <c r="K124" s="171">
        <v>0</v>
      </c>
      <c r="L124" s="164">
        <v>0</v>
      </c>
      <c r="M124" s="218">
        <f t="shared" si="63"/>
        <v>0</v>
      </c>
      <c r="N124" s="81" t="s">
        <v>38</v>
      </c>
      <c r="O124" s="81" t="s">
        <v>38</v>
      </c>
      <c r="P124" s="82" t="s">
        <v>38</v>
      </c>
      <c r="Q124" s="113" t="s">
        <v>38</v>
      </c>
      <c r="R124" s="114">
        <v>90</v>
      </c>
      <c r="S124" s="113">
        <f t="shared" si="72"/>
        <v>3</v>
      </c>
      <c r="T124" s="85">
        <v>0</v>
      </c>
      <c r="U124" s="85">
        <v>0</v>
      </c>
      <c r="V124" s="85">
        <v>0</v>
      </c>
      <c r="W124" s="78">
        <v>0</v>
      </c>
      <c r="X124" s="210">
        <v>0</v>
      </c>
      <c r="Y124" s="88">
        <v>0</v>
      </c>
      <c r="Z124" s="126">
        <v>0</v>
      </c>
      <c r="AA124" s="126">
        <v>0</v>
      </c>
      <c r="AB124" s="126">
        <v>0</v>
      </c>
      <c r="AC124" s="211">
        <v>0</v>
      </c>
      <c r="AD124" s="219">
        <v>0</v>
      </c>
      <c r="AE124" s="220">
        <v>0</v>
      </c>
      <c r="AF124" s="220">
        <v>0</v>
      </c>
      <c r="AG124" s="220">
        <v>0</v>
      </c>
      <c r="AH124" s="220">
        <v>0</v>
      </c>
      <c r="AI124" s="220">
        <v>0</v>
      </c>
      <c r="AJ124" s="234">
        <v>0</v>
      </c>
      <c r="AK124" s="234">
        <v>2</v>
      </c>
      <c r="AL124" s="234">
        <v>2</v>
      </c>
      <c r="AM124" s="234">
        <v>1</v>
      </c>
      <c r="AN124" s="234">
        <v>0</v>
      </c>
      <c r="AO124" s="146" t="s">
        <v>206</v>
      </c>
      <c r="AP124" s="63"/>
    </row>
    <row r="125" spans="1:42" ht="21.75" customHeight="1" x14ac:dyDescent="0.55000000000000004">
      <c r="A125" s="129" t="s">
        <v>203</v>
      </c>
      <c r="B125" s="272"/>
      <c r="C125" s="75">
        <v>0</v>
      </c>
      <c r="D125" s="75">
        <v>0</v>
      </c>
      <c r="E125" s="75">
        <v>0</v>
      </c>
      <c r="F125" s="75">
        <v>0</v>
      </c>
      <c r="G125" s="76">
        <v>0</v>
      </c>
      <c r="H125" s="76">
        <v>0</v>
      </c>
      <c r="I125" s="76">
        <v>0</v>
      </c>
      <c r="J125" s="77">
        <v>0</v>
      </c>
      <c r="K125" s="171">
        <v>0</v>
      </c>
      <c r="L125" s="164">
        <v>0</v>
      </c>
      <c r="M125" s="218">
        <f t="shared" si="63"/>
        <v>0</v>
      </c>
      <c r="N125" s="81" t="s">
        <v>38</v>
      </c>
      <c r="O125" s="81" t="s">
        <v>38</v>
      </c>
      <c r="P125" s="82" t="s">
        <v>38</v>
      </c>
      <c r="Q125" s="113" t="s">
        <v>38</v>
      </c>
      <c r="R125" s="114">
        <v>90</v>
      </c>
      <c r="S125" s="113">
        <f t="shared" si="72"/>
        <v>3</v>
      </c>
      <c r="T125" s="85">
        <v>0</v>
      </c>
      <c r="U125" s="85">
        <v>0</v>
      </c>
      <c r="V125" s="85">
        <v>0</v>
      </c>
      <c r="W125" s="78">
        <v>0</v>
      </c>
      <c r="X125" s="210">
        <v>0</v>
      </c>
      <c r="Y125" s="88">
        <v>0</v>
      </c>
      <c r="Z125" s="126">
        <v>0</v>
      </c>
      <c r="AA125" s="126">
        <v>0</v>
      </c>
      <c r="AB125" s="126">
        <v>0</v>
      </c>
      <c r="AC125" s="211">
        <v>0</v>
      </c>
      <c r="AD125" s="219">
        <v>0</v>
      </c>
      <c r="AE125" s="220">
        <v>0</v>
      </c>
      <c r="AF125" s="220">
        <v>0</v>
      </c>
      <c r="AG125" s="220">
        <v>0</v>
      </c>
      <c r="AH125" s="220">
        <v>0</v>
      </c>
      <c r="AI125" s="220">
        <v>0</v>
      </c>
      <c r="AJ125" s="234">
        <v>0</v>
      </c>
      <c r="AK125" s="234">
        <v>3</v>
      </c>
      <c r="AL125" s="234">
        <v>3</v>
      </c>
      <c r="AM125" s="234">
        <v>1</v>
      </c>
      <c r="AN125" s="234">
        <v>0</v>
      </c>
      <c r="AO125" s="146" t="s">
        <v>206</v>
      </c>
      <c r="AP125" s="63"/>
    </row>
    <row r="126" spans="1:42" ht="21.75" customHeight="1" x14ac:dyDescent="0.55000000000000004">
      <c r="A126" s="129" t="s">
        <v>204</v>
      </c>
      <c r="B126" s="272"/>
      <c r="C126" s="75">
        <v>0</v>
      </c>
      <c r="D126" s="75">
        <v>0</v>
      </c>
      <c r="E126" s="75">
        <v>0</v>
      </c>
      <c r="F126" s="75">
        <v>0</v>
      </c>
      <c r="G126" s="76">
        <v>0</v>
      </c>
      <c r="H126" s="76">
        <v>0</v>
      </c>
      <c r="I126" s="76">
        <v>0</v>
      </c>
      <c r="J126" s="77">
        <v>0</v>
      </c>
      <c r="K126" s="171">
        <v>0</v>
      </c>
      <c r="L126" s="164">
        <v>0</v>
      </c>
      <c r="M126" s="218">
        <f t="shared" si="63"/>
        <v>0</v>
      </c>
      <c r="N126" s="81" t="s">
        <v>38</v>
      </c>
      <c r="O126" s="81" t="s">
        <v>38</v>
      </c>
      <c r="P126" s="82" t="s">
        <v>38</v>
      </c>
      <c r="Q126" s="113" t="s">
        <v>38</v>
      </c>
      <c r="R126" s="114">
        <v>90</v>
      </c>
      <c r="S126" s="113">
        <f t="shared" si="72"/>
        <v>3</v>
      </c>
      <c r="T126" s="85">
        <v>0</v>
      </c>
      <c r="U126" s="85">
        <v>0</v>
      </c>
      <c r="V126" s="85">
        <v>0</v>
      </c>
      <c r="W126" s="78">
        <v>0</v>
      </c>
      <c r="X126" s="210">
        <v>0</v>
      </c>
      <c r="Y126" s="88">
        <v>0</v>
      </c>
      <c r="Z126" s="126">
        <v>0</v>
      </c>
      <c r="AA126" s="126">
        <v>0</v>
      </c>
      <c r="AB126" s="126">
        <v>0</v>
      </c>
      <c r="AC126" s="211">
        <v>0</v>
      </c>
      <c r="AD126" s="219">
        <v>0</v>
      </c>
      <c r="AE126" s="220">
        <v>0</v>
      </c>
      <c r="AF126" s="220">
        <v>0</v>
      </c>
      <c r="AG126" s="220">
        <v>0</v>
      </c>
      <c r="AH126" s="220">
        <v>0</v>
      </c>
      <c r="AI126" s="220">
        <v>0</v>
      </c>
      <c r="AJ126" s="234">
        <v>0</v>
      </c>
      <c r="AK126" s="234">
        <v>2</v>
      </c>
      <c r="AL126" s="234">
        <v>2</v>
      </c>
      <c r="AM126" s="234">
        <v>1</v>
      </c>
      <c r="AN126" s="234">
        <v>0</v>
      </c>
      <c r="AO126" s="146" t="s">
        <v>206</v>
      </c>
      <c r="AP126" s="63"/>
    </row>
    <row r="127" spans="1:42" ht="21.75" customHeight="1" x14ac:dyDescent="0.55000000000000004">
      <c r="A127" s="129" t="s">
        <v>205</v>
      </c>
      <c r="B127" s="272"/>
      <c r="C127" s="75">
        <v>0</v>
      </c>
      <c r="D127" s="75">
        <v>0</v>
      </c>
      <c r="E127" s="75">
        <v>0</v>
      </c>
      <c r="F127" s="75">
        <v>0</v>
      </c>
      <c r="G127" s="76">
        <v>0</v>
      </c>
      <c r="H127" s="76">
        <v>0</v>
      </c>
      <c r="I127" s="76">
        <v>0</v>
      </c>
      <c r="J127" s="77">
        <v>0</v>
      </c>
      <c r="K127" s="171">
        <v>0</v>
      </c>
      <c r="L127" s="164">
        <v>0</v>
      </c>
      <c r="M127" s="218">
        <f t="shared" si="63"/>
        <v>0</v>
      </c>
      <c r="N127" s="81" t="s">
        <v>38</v>
      </c>
      <c r="O127" s="81" t="s">
        <v>38</v>
      </c>
      <c r="P127" s="82" t="s">
        <v>38</v>
      </c>
      <c r="Q127" s="113" t="s">
        <v>38</v>
      </c>
      <c r="R127" s="114">
        <v>90</v>
      </c>
      <c r="S127" s="113">
        <f t="shared" si="72"/>
        <v>3</v>
      </c>
      <c r="T127" s="85">
        <v>0</v>
      </c>
      <c r="U127" s="85">
        <v>0</v>
      </c>
      <c r="V127" s="85">
        <v>0</v>
      </c>
      <c r="W127" s="78">
        <v>0</v>
      </c>
      <c r="X127" s="210">
        <v>0</v>
      </c>
      <c r="Y127" s="88">
        <v>0</v>
      </c>
      <c r="Z127" s="126">
        <v>0</v>
      </c>
      <c r="AA127" s="126">
        <v>0</v>
      </c>
      <c r="AB127" s="126">
        <v>0</v>
      </c>
      <c r="AC127" s="211">
        <v>0</v>
      </c>
      <c r="AD127" s="219">
        <v>0</v>
      </c>
      <c r="AE127" s="220">
        <v>0</v>
      </c>
      <c r="AF127" s="220">
        <v>0</v>
      </c>
      <c r="AG127" s="220">
        <v>0</v>
      </c>
      <c r="AH127" s="220">
        <v>0</v>
      </c>
      <c r="AI127" s="220">
        <v>0</v>
      </c>
      <c r="AJ127" s="234">
        <v>0</v>
      </c>
      <c r="AK127" s="234">
        <v>7</v>
      </c>
      <c r="AL127" s="234">
        <v>6</v>
      </c>
      <c r="AM127" s="234">
        <v>1</v>
      </c>
      <c r="AN127" s="234">
        <v>0</v>
      </c>
      <c r="AO127" s="146" t="s">
        <v>206</v>
      </c>
      <c r="AP127" s="63"/>
    </row>
    <row r="128" spans="1:42" s="20" customFormat="1" ht="21.75" customHeight="1" x14ac:dyDescent="0.2">
      <c r="A128" s="221" t="s">
        <v>0</v>
      </c>
      <c r="B128" s="276"/>
      <c r="C128" s="139">
        <f t="shared" ref="C128:AN128" si="73">C100+C20+C46+C73+C90+C106+C6+C108+C121</f>
        <v>0</v>
      </c>
      <c r="D128" s="139">
        <f t="shared" si="73"/>
        <v>17</v>
      </c>
      <c r="E128" s="139">
        <f t="shared" si="73"/>
        <v>75</v>
      </c>
      <c r="F128" s="139">
        <f t="shared" si="73"/>
        <v>43</v>
      </c>
      <c r="G128" s="139">
        <f t="shared" si="73"/>
        <v>0</v>
      </c>
      <c r="H128" s="139">
        <f t="shared" si="73"/>
        <v>2</v>
      </c>
      <c r="I128" s="139">
        <f t="shared" si="73"/>
        <v>141</v>
      </c>
      <c r="J128" s="139">
        <f t="shared" si="73"/>
        <v>305</v>
      </c>
      <c r="K128" s="139">
        <f t="shared" si="73"/>
        <v>583</v>
      </c>
      <c r="L128" s="139">
        <f t="shared" si="73"/>
        <v>18</v>
      </c>
      <c r="M128" s="139">
        <f t="shared" si="73"/>
        <v>565</v>
      </c>
      <c r="N128" s="222">
        <f t="shared" si="73"/>
        <v>9877.0749999999989</v>
      </c>
      <c r="O128" s="222">
        <f t="shared" si="73"/>
        <v>571.28211111111113</v>
      </c>
      <c r="P128" s="222">
        <f t="shared" si="73"/>
        <v>10448.35711111111</v>
      </c>
      <c r="Q128" s="139">
        <f t="shared" si="73"/>
        <v>433.34236592592595</v>
      </c>
      <c r="R128" s="222">
        <f t="shared" si="73"/>
        <v>11617.774966666666</v>
      </c>
      <c r="S128" s="139">
        <f t="shared" si="73"/>
        <v>485.52903422222221</v>
      </c>
      <c r="T128" s="222">
        <f t="shared" si="73"/>
        <v>15755</v>
      </c>
      <c r="U128" s="222">
        <f t="shared" si="73"/>
        <v>459</v>
      </c>
      <c r="V128" s="222">
        <f t="shared" si="73"/>
        <v>16214</v>
      </c>
      <c r="W128" s="222">
        <f t="shared" si="73"/>
        <v>8107</v>
      </c>
      <c r="X128" s="139">
        <f t="shared" si="73"/>
        <v>483.14523809523808</v>
      </c>
      <c r="Y128" s="139">
        <f t="shared" si="73"/>
        <v>579.07142857142856</v>
      </c>
      <c r="Z128" s="223">
        <f t="shared" si="73"/>
        <v>-124.53513407407408</v>
      </c>
      <c r="AA128" s="223">
        <f t="shared" si="73"/>
        <v>-71.997619047619054</v>
      </c>
      <c r="AB128" s="223">
        <f t="shared" si="73"/>
        <v>67.928571428571416</v>
      </c>
      <c r="AC128" s="139">
        <f t="shared" si="73"/>
        <v>423</v>
      </c>
      <c r="AD128" s="139">
        <f t="shared" si="73"/>
        <v>67.455085069444436</v>
      </c>
      <c r="AE128" s="139">
        <f t="shared" si="73"/>
        <v>9</v>
      </c>
      <c r="AF128" s="139">
        <f t="shared" si="73"/>
        <v>7</v>
      </c>
      <c r="AG128" s="139">
        <f t="shared" si="73"/>
        <v>11</v>
      </c>
      <c r="AH128" s="139">
        <f t="shared" si="73"/>
        <v>8</v>
      </c>
      <c r="AI128" s="139">
        <f t="shared" si="73"/>
        <v>7</v>
      </c>
      <c r="AJ128" s="139">
        <f t="shared" si="73"/>
        <v>0</v>
      </c>
      <c r="AK128" s="139">
        <f t="shared" si="73"/>
        <v>24</v>
      </c>
      <c r="AL128" s="139">
        <f t="shared" si="73"/>
        <v>26</v>
      </c>
      <c r="AM128" s="139">
        <f t="shared" si="73"/>
        <v>16</v>
      </c>
      <c r="AN128" s="139">
        <f t="shared" si="73"/>
        <v>9</v>
      </c>
      <c r="AO128" s="221"/>
      <c r="AP128" s="224"/>
    </row>
    <row r="129" spans="1:42" ht="21.75" customHeight="1" x14ac:dyDescent="0.2">
      <c r="A129" s="225" t="s">
        <v>250</v>
      </c>
      <c r="B129" s="277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50"/>
      <c r="N129" s="227"/>
      <c r="O129" s="228"/>
      <c r="P129" s="227"/>
      <c r="Q129" s="228"/>
      <c r="R129" s="228"/>
      <c r="S129" s="228"/>
      <c r="T129" s="226"/>
      <c r="U129" s="226"/>
      <c r="V129" s="226"/>
      <c r="W129" s="226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9"/>
      <c r="AP129" s="63"/>
    </row>
    <row r="130" spans="1:42" x14ac:dyDescent="0.2">
      <c r="A130" s="6"/>
      <c r="B130" s="278"/>
      <c r="P130" s="34"/>
      <c r="X130" s="2"/>
      <c r="AC130" s="34"/>
      <c r="AD130" s="34"/>
      <c r="AE130" s="4"/>
      <c r="AF130" s="4"/>
      <c r="AG130" s="4"/>
      <c r="AH130" s="5"/>
      <c r="AI130" s="5"/>
      <c r="AJ130" s="4"/>
      <c r="AK130" s="4"/>
      <c r="AL130" s="4"/>
      <c r="AM130" s="4"/>
      <c r="AN130" s="5"/>
      <c r="AO130" s="5"/>
    </row>
    <row r="131" spans="1:42" x14ac:dyDescent="0.2">
      <c r="X131" s="2"/>
      <c r="AC131" s="34"/>
      <c r="AD131" s="34"/>
      <c r="AJ131" s="2"/>
      <c r="AK131" s="2"/>
      <c r="AL131" s="2"/>
      <c r="AM131" s="2"/>
      <c r="AN131" s="2"/>
    </row>
  </sheetData>
  <mergeCells count="56">
    <mergeCell ref="AE3:AI3"/>
    <mergeCell ref="AJ3:AN3"/>
    <mergeCell ref="AM4:AM5"/>
    <mergeCell ref="AN4:AN5"/>
    <mergeCell ref="AI4:AI5"/>
    <mergeCell ref="AJ4:AJ5"/>
    <mergeCell ref="AK4:AK5"/>
    <mergeCell ref="AL4:AL5"/>
    <mergeCell ref="N4:N5"/>
    <mergeCell ref="O4:O5"/>
    <mergeCell ref="U4:U5"/>
    <mergeCell ref="V4:V5"/>
    <mergeCell ref="S3:S5"/>
    <mergeCell ref="T3:V3"/>
    <mergeCell ref="A1:AO1"/>
    <mergeCell ref="A2:AO2"/>
    <mergeCell ref="A3:A5"/>
    <mergeCell ref="B3:B5"/>
    <mergeCell ref="C3:K3"/>
    <mergeCell ref="L3:L5"/>
    <mergeCell ref="AO3:AO5"/>
    <mergeCell ref="C4:F4"/>
    <mergeCell ref="G4:J4"/>
    <mergeCell ref="K4:K5"/>
    <mergeCell ref="Y3:Y5"/>
    <mergeCell ref="Z3:AB3"/>
    <mergeCell ref="A7:A8"/>
    <mergeCell ref="A11:A12"/>
    <mergeCell ref="M3:M5"/>
    <mergeCell ref="N3:P3"/>
    <mergeCell ref="Q3:Q5"/>
    <mergeCell ref="R3:R5"/>
    <mergeCell ref="P4:P5"/>
    <mergeCell ref="T4:T5"/>
    <mergeCell ref="A13:A14"/>
    <mergeCell ref="A15:A16"/>
    <mergeCell ref="AG4:AG5"/>
    <mergeCell ref="AH4:AH5"/>
    <mergeCell ref="AE4:AE5"/>
    <mergeCell ref="AF4:AF5"/>
    <mergeCell ref="AC3:AC5"/>
    <mergeCell ref="AD3:AD5"/>
    <mergeCell ref="W3:W5"/>
    <mergeCell ref="X3:X5"/>
    <mergeCell ref="A30:A33"/>
    <mergeCell ref="A35:A38"/>
    <mergeCell ref="A39:A41"/>
    <mergeCell ref="A48:A50"/>
    <mergeCell ref="A51:A52"/>
    <mergeCell ref="A53:A54"/>
    <mergeCell ref="A55:A58"/>
    <mergeCell ref="A65:A67"/>
    <mergeCell ref="A77:A81"/>
    <mergeCell ref="A84:A85"/>
    <mergeCell ref="A88:A89"/>
    <mergeCell ref="A101:A103"/>
  </mergeCells>
  <printOptions horizontalCentered="1"/>
  <pageMargins left="0.25" right="0.25" top="0.75" bottom="0.75" header="0.3" footer="0.3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G24"/>
  <sheetViews>
    <sheetView workbookViewId="0">
      <selection activeCell="U9" sqref="U9"/>
    </sheetView>
  </sheetViews>
  <sheetFormatPr defaultRowHeight="14.25" x14ac:dyDescent="0.2"/>
  <cols>
    <col min="1" max="1" width="4.875" bestFit="1" customWidth="1"/>
    <col min="2" max="2" width="38.875" bestFit="1" customWidth="1"/>
    <col min="6" max="6" width="17.625" bestFit="1" customWidth="1"/>
    <col min="7" max="7" width="12.375" bestFit="1" customWidth="1"/>
  </cols>
  <sheetData>
    <row r="1" spans="1:7" ht="24" x14ac:dyDescent="0.55000000000000004">
      <c r="A1" s="318"/>
      <c r="B1" s="319" t="s">
        <v>282</v>
      </c>
      <c r="D1" s="318"/>
      <c r="E1" s="318"/>
      <c r="F1" s="318"/>
    </row>
    <row r="2" spans="1:7" ht="24" x14ac:dyDescent="0.55000000000000004">
      <c r="A2" s="320" t="s">
        <v>283</v>
      </c>
      <c r="B2" s="320" t="s">
        <v>284</v>
      </c>
      <c r="C2" s="320" t="s">
        <v>285</v>
      </c>
      <c r="D2" s="320" t="s">
        <v>286</v>
      </c>
      <c r="E2" s="320" t="s">
        <v>287</v>
      </c>
      <c r="F2" s="320" t="s">
        <v>288</v>
      </c>
      <c r="G2" s="320" t="s">
        <v>289</v>
      </c>
    </row>
    <row r="3" spans="1:7" ht="24" x14ac:dyDescent="0.55000000000000004">
      <c r="A3" s="62">
        <v>1</v>
      </c>
      <c r="B3" s="59" t="s">
        <v>290</v>
      </c>
      <c r="C3" s="59" t="s">
        <v>291</v>
      </c>
      <c r="D3" s="59" t="s">
        <v>292</v>
      </c>
      <c r="E3" s="59" t="s">
        <v>293</v>
      </c>
      <c r="F3" s="59" t="s">
        <v>294</v>
      </c>
      <c r="G3" s="59" t="s">
        <v>295</v>
      </c>
    </row>
    <row r="4" spans="1:7" ht="24" x14ac:dyDescent="0.55000000000000004">
      <c r="A4" s="62">
        <v>2</v>
      </c>
      <c r="B4" s="59" t="s">
        <v>290</v>
      </c>
      <c r="C4" s="59" t="s">
        <v>296</v>
      </c>
      <c r="D4" s="59" t="s">
        <v>297</v>
      </c>
      <c r="E4" s="59" t="s">
        <v>293</v>
      </c>
      <c r="F4" s="59" t="s">
        <v>294</v>
      </c>
      <c r="G4" s="59" t="s">
        <v>295</v>
      </c>
    </row>
    <row r="5" spans="1:7" ht="24" x14ac:dyDescent="0.55000000000000004">
      <c r="A5" s="62">
        <v>3</v>
      </c>
      <c r="B5" s="59" t="s">
        <v>298</v>
      </c>
      <c r="C5" s="59" t="s">
        <v>299</v>
      </c>
      <c r="D5" s="59" t="s">
        <v>300</v>
      </c>
      <c r="E5" s="59" t="s">
        <v>301</v>
      </c>
      <c r="F5" s="59" t="s">
        <v>302</v>
      </c>
      <c r="G5" s="59" t="s">
        <v>295</v>
      </c>
    </row>
    <row r="6" spans="1:7" ht="24" x14ac:dyDescent="0.55000000000000004">
      <c r="A6" s="62">
        <v>4</v>
      </c>
      <c r="B6" s="59" t="s">
        <v>298</v>
      </c>
      <c r="C6" s="59" t="s">
        <v>303</v>
      </c>
      <c r="D6" s="59" t="s">
        <v>304</v>
      </c>
      <c r="E6" s="59" t="s">
        <v>305</v>
      </c>
      <c r="F6" s="59" t="s">
        <v>302</v>
      </c>
      <c r="G6" s="59" t="s">
        <v>295</v>
      </c>
    </row>
    <row r="7" spans="1:7" ht="24" x14ac:dyDescent="0.55000000000000004">
      <c r="A7" s="62">
        <v>5</v>
      </c>
      <c r="B7" s="59" t="s">
        <v>306</v>
      </c>
      <c r="C7" s="59" t="s">
        <v>307</v>
      </c>
      <c r="D7" s="59" t="s">
        <v>308</v>
      </c>
      <c r="E7" s="59" t="s">
        <v>305</v>
      </c>
      <c r="F7" s="59" t="s">
        <v>302</v>
      </c>
      <c r="G7" s="59" t="s">
        <v>295</v>
      </c>
    </row>
    <row r="8" spans="1:7" ht="24" x14ac:dyDescent="0.55000000000000004">
      <c r="A8" s="62">
        <v>6</v>
      </c>
      <c r="B8" s="59" t="s">
        <v>309</v>
      </c>
      <c r="C8" s="59" t="s">
        <v>310</v>
      </c>
      <c r="D8" s="59" t="s">
        <v>311</v>
      </c>
      <c r="E8" s="59" t="s">
        <v>305</v>
      </c>
      <c r="F8" s="59" t="s">
        <v>312</v>
      </c>
      <c r="G8" s="59" t="s">
        <v>295</v>
      </c>
    </row>
    <row r="9" spans="1:7" ht="24" x14ac:dyDescent="0.55000000000000004">
      <c r="A9" s="62">
        <v>7</v>
      </c>
      <c r="B9" s="59" t="s">
        <v>309</v>
      </c>
      <c r="C9" s="59" t="s">
        <v>313</v>
      </c>
      <c r="D9" s="59" t="s">
        <v>314</v>
      </c>
      <c r="E9" s="59" t="s">
        <v>305</v>
      </c>
      <c r="F9" s="59" t="s">
        <v>302</v>
      </c>
      <c r="G9" s="59" t="s">
        <v>295</v>
      </c>
    </row>
    <row r="10" spans="1:7" ht="24" x14ac:dyDescent="0.55000000000000004">
      <c r="A10" s="62">
        <v>8</v>
      </c>
      <c r="B10" s="59" t="s">
        <v>309</v>
      </c>
      <c r="C10" s="59" t="s">
        <v>315</v>
      </c>
      <c r="D10" s="59" t="s">
        <v>316</v>
      </c>
      <c r="E10" s="59" t="s">
        <v>305</v>
      </c>
      <c r="F10" s="59" t="s">
        <v>302</v>
      </c>
      <c r="G10" s="59" t="s">
        <v>295</v>
      </c>
    </row>
    <row r="11" spans="1:7" ht="24" x14ac:dyDescent="0.55000000000000004">
      <c r="A11" s="62">
        <v>9</v>
      </c>
      <c r="B11" s="59" t="s">
        <v>317</v>
      </c>
      <c r="C11" s="59" t="s">
        <v>318</v>
      </c>
      <c r="D11" s="59" t="s">
        <v>319</v>
      </c>
      <c r="E11" s="59" t="s">
        <v>293</v>
      </c>
      <c r="F11" s="59" t="s">
        <v>312</v>
      </c>
      <c r="G11" s="59" t="s">
        <v>295</v>
      </c>
    </row>
    <row r="12" spans="1:7" ht="24" x14ac:dyDescent="0.55000000000000004">
      <c r="A12" s="62">
        <v>10</v>
      </c>
      <c r="B12" s="59" t="s">
        <v>320</v>
      </c>
      <c r="C12" s="59" t="s">
        <v>321</v>
      </c>
      <c r="D12" s="59" t="s">
        <v>322</v>
      </c>
      <c r="E12" s="59" t="s">
        <v>305</v>
      </c>
      <c r="F12" s="59" t="s">
        <v>312</v>
      </c>
      <c r="G12" s="59" t="s">
        <v>295</v>
      </c>
    </row>
    <row r="13" spans="1:7" ht="24" x14ac:dyDescent="0.55000000000000004">
      <c r="A13" s="62">
        <v>11</v>
      </c>
      <c r="B13" s="59" t="s">
        <v>323</v>
      </c>
      <c r="C13" s="59" t="s">
        <v>324</v>
      </c>
      <c r="D13" s="59" t="s">
        <v>325</v>
      </c>
      <c r="E13" s="59" t="s">
        <v>305</v>
      </c>
      <c r="F13" s="59" t="s">
        <v>326</v>
      </c>
      <c r="G13" s="59" t="s">
        <v>295</v>
      </c>
    </row>
    <row r="14" spans="1:7" ht="24" x14ac:dyDescent="0.55000000000000004">
      <c r="A14" s="62">
        <v>12</v>
      </c>
      <c r="B14" s="59" t="s">
        <v>327</v>
      </c>
      <c r="C14" s="59" t="s">
        <v>328</v>
      </c>
      <c r="D14" s="59" t="s">
        <v>329</v>
      </c>
      <c r="E14" s="59" t="s">
        <v>305</v>
      </c>
      <c r="F14" s="59" t="s">
        <v>312</v>
      </c>
      <c r="G14" s="59" t="s">
        <v>295</v>
      </c>
    </row>
    <row r="15" spans="1:7" ht="24" x14ac:dyDescent="0.55000000000000004">
      <c r="A15" s="62">
        <v>13</v>
      </c>
      <c r="B15" s="59" t="s">
        <v>327</v>
      </c>
      <c r="C15" s="59" t="s">
        <v>330</v>
      </c>
      <c r="D15" s="59" t="s">
        <v>331</v>
      </c>
      <c r="E15" s="59" t="s">
        <v>305</v>
      </c>
      <c r="F15" s="59" t="s">
        <v>312</v>
      </c>
      <c r="G15" s="59" t="s">
        <v>295</v>
      </c>
    </row>
    <row r="16" spans="1:7" ht="24" x14ac:dyDescent="0.55000000000000004">
      <c r="A16" s="62">
        <v>14</v>
      </c>
      <c r="B16" s="59" t="s">
        <v>332</v>
      </c>
      <c r="C16" s="59" t="s">
        <v>333</v>
      </c>
      <c r="D16" s="59" t="s">
        <v>334</v>
      </c>
      <c r="E16" s="59" t="s">
        <v>305</v>
      </c>
      <c r="F16" s="59" t="s">
        <v>294</v>
      </c>
      <c r="G16" s="59" t="s">
        <v>295</v>
      </c>
    </row>
    <row r="17" spans="1:7" ht="24" x14ac:dyDescent="0.55000000000000004">
      <c r="A17" s="62">
        <v>15</v>
      </c>
      <c r="B17" s="59" t="s">
        <v>332</v>
      </c>
      <c r="C17" s="59" t="s">
        <v>335</v>
      </c>
      <c r="D17" s="59" t="s">
        <v>336</v>
      </c>
      <c r="E17" s="59" t="s">
        <v>305</v>
      </c>
      <c r="F17" s="59" t="s">
        <v>312</v>
      </c>
      <c r="G17" s="59" t="s">
        <v>295</v>
      </c>
    </row>
    <row r="18" spans="1:7" ht="24" x14ac:dyDescent="0.55000000000000004">
      <c r="A18" s="62">
        <v>16</v>
      </c>
      <c r="B18" s="59" t="s">
        <v>337</v>
      </c>
      <c r="C18" s="59" t="s">
        <v>12</v>
      </c>
      <c r="D18" s="59" t="s">
        <v>338</v>
      </c>
      <c r="E18" s="59" t="s">
        <v>293</v>
      </c>
      <c r="F18" s="59" t="s">
        <v>312</v>
      </c>
      <c r="G18" s="59" t="s">
        <v>295</v>
      </c>
    </row>
    <row r="19" spans="1:7" ht="24" x14ac:dyDescent="0.55000000000000004">
      <c r="A19" s="62">
        <v>17</v>
      </c>
      <c r="B19" s="59" t="s">
        <v>339</v>
      </c>
      <c r="C19" s="59" t="s">
        <v>340</v>
      </c>
      <c r="D19" s="59" t="s">
        <v>341</v>
      </c>
      <c r="E19" s="59" t="s">
        <v>293</v>
      </c>
      <c r="F19" s="59" t="s">
        <v>312</v>
      </c>
      <c r="G19" s="59" t="s">
        <v>295</v>
      </c>
    </row>
    <row r="20" spans="1:7" ht="24" x14ac:dyDescent="0.55000000000000004">
      <c r="A20" s="62">
        <v>18</v>
      </c>
      <c r="B20" s="59" t="s">
        <v>339</v>
      </c>
      <c r="C20" s="59" t="s">
        <v>342</v>
      </c>
      <c r="D20" s="59" t="s">
        <v>343</v>
      </c>
      <c r="E20" s="59" t="s">
        <v>305</v>
      </c>
      <c r="F20" s="59" t="s">
        <v>312</v>
      </c>
      <c r="G20" s="59" t="s">
        <v>295</v>
      </c>
    </row>
    <row r="21" spans="1:7" ht="24" x14ac:dyDescent="0.55000000000000004">
      <c r="A21" s="62">
        <v>19</v>
      </c>
      <c r="B21" s="59" t="s">
        <v>339</v>
      </c>
      <c r="C21" s="59" t="s">
        <v>344</v>
      </c>
      <c r="D21" s="59" t="s">
        <v>345</v>
      </c>
      <c r="E21" s="59" t="s">
        <v>305</v>
      </c>
      <c r="F21" s="59" t="s">
        <v>312</v>
      </c>
      <c r="G21" s="59" t="s">
        <v>295</v>
      </c>
    </row>
    <row r="22" spans="1:7" ht="24" x14ac:dyDescent="0.55000000000000004">
      <c r="A22" s="62">
        <v>20</v>
      </c>
      <c r="B22" s="59" t="s">
        <v>339</v>
      </c>
      <c r="C22" s="59" t="s">
        <v>346</v>
      </c>
      <c r="D22" s="59" t="s">
        <v>347</v>
      </c>
      <c r="E22" s="59" t="s">
        <v>305</v>
      </c>
      <c r="F22" s="59" t="s">
        <v>312</v>
      </c>
      <c r="G22" s="59" t="s">
        <v>295</v>
      </c>
    </row>
    <row r="23" spans="1:7" ht="24" x14ac:dyDescent="0.55000000000000004">
      <c r="A23" s="62">
        <v>21</v>
      </c>
      <c r="B23" s="59" t="s">
        <v>339</v>
      </c>
      <c r="C23" s="59" t="s">
        <v>348</v>
      </c>
      <c r="D23" s="59" t="s">
        <v>349</v>
      </c>
      <c r="E23" s="59" t="s">
        <v>305</v>
      </c>
      <c r="F23" s="59" t="s">
        <v>312</v>
      </c>
      <c r="G23" s="59" t="s">
        <v>295</v>
      </c>
    </row>
    <row r="24" spans="1:7" ht="24" x14ac:dyDescent="0.55000000000000004">
      <c r="A24" s="62">
        <v>22</v>
      </c>
      <c r="B24" s="59" t="s">
        <v>339</v>
      </c>
      <c r="C24" s="59" t="s">
        <v>350</v>
      </c>
      <c r="D24" s="59" t="s">
        <v>351</v>
      </c>
      <c r="E24" s="59" t="s">
        <v>293</v>
      </c>
      <c r="F24" s="59" t="s">
        <v>312</v>
      </c>
      <c r="G24" s="59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AP131"/>
  <sheetViews>
    <sheetView topLeftCell="A10" zoomScaleNormal="100" zoomScaleSheetLayoutView="100" workbookViewId="0">
      <selection activeCell="U9" sqref="U9"/>
    </sheetView>
  </sheetViews>
  <sheetFormatPr defaultColWidth="8.375" defaultRowHeight="20.25" x14ac:dyDescent="0.2"/>
  <cols>
    <col min="1" max="1" width="32.375" style="2" customWidth="1"/>
    <col min="2" max="2" width="32.375" style="279" bestFit="1" customWidth="1"/>
    <col min="3" max="3" width="4.125" style="34" bestFit="1" customWidth="1"/>
    <col min="4" max="8" width="4.375" style="34" customWidth="1"/>
    <col min="9" max="9" width="5.25" style="34" bestFit="1" customWidth="1"/>
    <col min="10" max="10" width="5" style="34" bestFit="1" customWidth="1"/>
    <col min="11" max="11" width="8" style="34" bestFit="1" customWidth="1"/>
    <col min="12" max="12" width="9.875" style="34" customWidth="1"/>
    <col min="13" max="13" width="8.875" style="41" customWidth="1"/>
    <col min="14" max="14" width="13" style="34" bestFit="1" customWidth="1"/>
    <col min="15" max="15" width="10" style="34" customWidth="1"/>
    <col min="16" max="16" width="13" style="31" bestFit="1" customWidth="1"/>
    <col min="17" max="17" width="8.75" style="2" customWidth="1"/>
    <col min="18" max="18" width="10.75" style="2" bestFit="1" customWidth="1"/>
    <col min="19" max="19" width="8.125" style="34" customWidth="1"/>
    <col min="20" max="20" width="10.375" style="32" bestFit="1" customWidth="1"/>
    <col min="21" max="21" width="8.125" style="32" customWidth="1"/>
    <col min="22" max="22" width="10.375" style="32" bestFit="1" customWidth="1"/>
    <col min="23" max="23" width="10.375" style="32" customWidth="1"/>
    <col min="24" max="24" width="8.875" style="54" customWidth="1"/>
    <col min="25" max="25" width="8.625" style="2" customWidth="1"/>
    <col min="26" max="26" width="7.125" style="2" customWidth="1"/>
    <col min="27" max="27" width="8" style="2" customWidth="1"/>
    <col min="28" max="28" width="9" style="34" bestFit="1" customWidth="1"/>
    <col min="29" max="29" width="9" style="53" customWidth="1"/>
    <col min="30" max="30" width="9.625" style="52" bestFit="1" customWidth="1"/>
    <col min="31" max="33" width="4.875" style="2" bestFit="1" customWidth="1"/>
    <col min="34" max="34" width="4.375" style="2" customWidth="1"/>
    <col min="35" max="35" width="3.75" style="2" customWidth="1"/>
    <col min="36" max="40" width="4.875" style="15" bestFit="1" customWidth="1"/>
    <col min="41" max="41" width="36.375" style="2" bestFit="1" customWidth="1"/>
    <col min="42" max="16384" width="8.375" style="2"/>
  </cols>
  <sheetData>
    <row r="1" spans="1:42" ht="28.5" customHeight="1" x14ac:dyDescent="0.2">
      <c r="A1" s="394" t="s">
        <v>197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63" t="s">
        <v>196</v>
      </c>
    </row>
    <row r="2" spans="1:42" ht="24" x14ac:dyDescent="0.2">
      <c r="A2" s="394" t="s">
        <v>195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63"/>
    </row>
    <row r="3" spans="1:42" s="231" customFormat="1" ht="45" customHeight="1" x14ac:dyDescent="0.2">
      <c r="A3" s="361" t="s">
        <v>200</v>
      </c>
      <c r="B3" s="361" t="s">
        <v>142</v>
      </c>
      <c r="C3" s="395" t="s">
        <v>143</v>
      </c>
      <c r="D3" s="396"/>
      <c r="E3" s="396"/>
      <c r="F3" s="396"/>
      <c r="G3" s="396"/>
      <c r="H3" s="396"/>
      <c r="I3" s="396"/>
      <c r="J3" s="396"/>
      <c r="K3" s="396"/>
      <c r="L3" s="397" t="s">
        <v>144</v>
      </c>
      <c r="M3" s="386" t="s">
        <v>145</v>
      </c>
      <c r="N3" s="382" t="s">
        <v>146</v>
      </c>
      <c r="O3" s="382"/>
      <c r="P3" s="382"/>
      <c r="Q3" s="380" t="s">
        <v>147</v>
      </c>
      <c r="R3" s="387" t="s">
        <v>148</v>
      </c>
      <c r="S3" s="380" t="s">
        <v>149</v>
      </c>
      <c r="T3" s="381" t="s">
        <v>150</v>
      </c>
      <c r="U3" s="381"/>
      <c r="V3" s="381"/>
      <c r="W3" s="381" t="s">
        <v>151</v>
      </c>
      <c r="X3" s="390" t="s">
        <v>152</v>
      </c>
      <c r="Y3" s="400" t="s">
        <v>153</v>
      </c>
      <c r="Z3" s="382" t="s">
        <v>154</v>
      </c>
      <c r="AA3" s="382"/>
      <c r="AB3" s="382"/>
      <c r="AC3" s="401" t="s">
        <v>155</v>
      </c>
      <c r="AD3" s="402" t="s">
        <v>156</v>
      </c>
      <c r="AE3" s="382" t="s">
        <v>157</v>
      </c>
      <c r="AF3" s="383"/>
      <c r="AG3" s="383"/>
      <c r="AH3" s="383"/>
      <c r="AI3" s="383"/>
      <c r="AJ3" s="384" t="s">
        <v>158</v>
      </c>
      <c r="AK3" s="385"/>
      <c r="AL3" s="385"/>
      <c r="AM3" s="385"/>
      <c r="AN3" s="385"/>
      <c r="AO3" s="353" t="s">
        <v>159</v>
      </c>
    </row>
    <row r="4" spans="1:42" s="231" customFormat="1" ht="20.25" customHeight="1" x14ac:dyDescent="0.2">
      <c r="A4" s="361"/>
      <c r="B4" s="361"/>
      <c r="C4" s="398" t="s">
        <v>1</v>
      </c>
      <c r="D4" s="398"/>
      <c r="E4" s="398"/>
      <c r="F4" s="398"/>
      <c r="G4" s="398" t="s">
        <v>2</v>
      </c>
      <c r="H4" s="398"/>
      <c r="I4" s="398"/>
      <c r="J4" s="398"/>
      <c r="K4" s="382" t="s">
        <v>0</v>
      </c>
      <c r="L4" s="397"/>
      <c r="M4" s="386"/>
      <c r="N4" s="399" t="s">
        <v>9</v>
      </c>
      <c r="O4" s="399" t="s">
        <v>13</v>
      </c>
      <c r="P4" s="391" t="s">
        <v>14</v>
      </c>
      <c r="Q4" s="380"/>
      <c r="R4" s="388"/>
      <c r="S4" s="380"/>
      <c r="T4" s="378" t="s">
        <v>3</v>
      </c>
      <c r="U4" s="378" t="s">
        <v>28</v>
      </c>
      <c r="V4" s="379" t="s">
        <v>29</v>
      </c>
      <c r="W4" s="381"/>
      <c r="X4" s="390"/>
      <c r="Y4" s="400"/>
      <c r="Z4" s="230" t="s">
        <v>4</v>
      </c>
      <c r="AA4" s="230" t="s">
        <v>125</v>
      </c>
      <c r="AB4" s="230" t="s">
        <v>126</v>
      </c>
      <c r="AC4" s="401"/>
      <c r="AD4" s="402"/>
      <c r="AE4" s="393">
        <v>2564</v>
      </c>
      <c r="AF4" s="393">
        <v>2565</v>
      </c>
      <c r="AG4" s="393">
        <v>2566</v>
      </c>
      <c r="AH4" s="393">
        <v>2567</v>
      </c>
      <c r="AI4" s="393">
        <v>2568</v>
      </c>
      <c r="AJ4" s="392">
        <v>2564</v>
      </c>
      <c r="AK4" s="392">
        <v>2565</v>
      </c>
      <c r="AL4" s="392">
        <v>2566</v>
      </c>
      <c r="AM4" s="392">
        <v>2567</v>
      </c>
      <c r="AN4" s="392">
        <v>2568</v>
      </c>
      <c r="AO4" s="353"/>
    </row>
    <row r="5" spans="1:42" s="231" customFormat="1" ht="37.5" x14ac:dyDescent="0.2">
      <c r="A5" s="361"/>
      <c r="B5" s="361"/>
      <c r="C5" s="317" t="s">
        <v>5</v>
      </c>
      <c r="D5" s="317" t="s">
        <v>6</v>
      </c>
      <c r="E5" s="317" t="s">
        <v>7</v>
      </c>
      <c r="F5" s="317" t="s">
        <v>8</v>
      </c>
      <c r="G5" s="317" t="s">
        <v>5</v>
      </c>
      <c r="H5" s="317" t="s">
        <v>6</v>
      </c>
      <c r="I5" s="317" t="s">
        <v>7</v>
      </c>
      <c r="J5" s="317" t="s">
        <v>8</v>
      </c>
      <c r="K5" s="382"/>
      <c r="L5" s="397"/>
      <c r="M5" s="386"/>
      <c r="N5" s="399"/>
      <c r="O5" s="399"/>
      <c r="P5" s="391"/>
      <c r="Q5" s="380"/>
      <c r="R5" s="389"/>
      <c r="S5" s="380"/>
      <c r="T5" s="378"/>
      <c r="U5" s="378"/>
      <c r="V5" s="379"/>
      <c r="W5" s="381"/>
      <c r="X5" s="390"/>
      <c r="Y5" s="400"/>
      <c r="Z5" s="230" t="s">
        <v>160</v>
      </c>
      <c r="AA5" s="230" t="s">
        <v>161</v>
      </c>
      <c r="AB5" s="230" t="s">
        <v>162</v>
      </c>
      <c r="AC5" s="401"/>
      <c r="AD5" s="402"/>
      <c r="AE5" s="393"/>
      <c r="AF5" s="393"/>
      <c r="AG5" s="393"/>
      <c r="AH5" s="393"/>
      <c r="AI5" s="393"/>
      <c r="AJ5" s="392"/>
      <c r="AK5" s="392"/>
      <c r="AL5" s="392"/>
      <c r="AM5" s="392"/>
      <c r="AN5" s="392"/>
      <c r="AO5" s="354"/>
    </row>
    <row r="6" spans="1:42" s="9" customFormat="1" ht="21.95" customHeight="1" x14ac:dyDescent="0.2">
      <c r="A6" s="64" t="s">
        <v>45</v>
      </c>
      <c r="B6" s="261"/>
      <c r="C6" s="65">
        <f t="shared" ref="C6:AD6" si="0">SUM(C7:C18)</f>
        <v>0</v>
      </c>
      <c r="D6" s="65">
        <f t="shared" si="0"/>
        <v>3</v>
      </c>
      <c r="E6" s="65">
        <f t="shared" si="0"/>
        <v>19</v>
      </c>
      <c r="F6" s="65">
        <f t="shared" si="0"/>
        <v>4</v>
      </c>
      <c r="G6" s="65">
        <f t="shared" si="0"/>
        <v>0</v>
      </c>
      <c r="H6" s="65">
        <f t="shared" si="0"/>
        <v>0</v>
      </c>
      <c r="I6" s="65">
        <f t="shared" si="0"/>
        <v>15</v>
      </c>
      <c r="J6" s="65">
        <f t="shared" si="0"/>
        <v>22</v>
      </c>
      <c r="K6" s="65">
        <f t="shared" si="0"/>
        <v>63</v>
      </c>
      <c r="L6" s="65">
        <f t="shared" si="0"/>
        <v>1</v>
      </c>
      <c r="M6" s="65">
        <f t="shared" si="0"/>
        <v>62</v>
      </c>
      <c r="N6" s="67">
        <f t="shared" si="0"/>
        <v>672.86111111111063</v>
      </c>
      <c r="O6" s="67">
        <f t="shared" si="0"/>
        <v>346.51111111111106</v>
      </c>
      <c r="P6" s="251">
        <f t="shared" si="0"/>
        <v>1019.3722222222218</v>
      </c>
      <c r="Q6" s="68">
        <f t="shared" si="0"/>
        <v>33.979074074074056</v>
      </c>
      <c r="R6" s="68">
        <f t="shared" si="0"/>
        <v>1070.340833333333</v>
      </c>
      <c r="S6" s="68">
        <f t="shared" si="0"/>
        <v>35.678027777777757</v>
      </c>
      <c r="T6" s="256">
        <f t="shared" si="0"/>
        <v>1940</v>
      </c>
      <c r="U6" s="256">
        <f t="shared" si="0"/>
        <v>192</v>
      </c>
      <c r="V6" s="256">
        <f t="shared" si="0"/>
        <v>2132</v>
      </c>
      <c r="W6" s="256">
        <f t="shared" si="0"/>
        <v>1066</v>
      </c>
      <c r="X6" s="65">
        <f t="shared" si="0"/>
        <v>80.802380952380943</v>
      </c>
      <c r="Y6" s="65">
        <f t="shared" si="0"/>
        <v>76.142857142857153</v>
      </c>
      <c r="Z6" s="69">
        <f t="shared" si="0"/>
        <v>-27.898425925925942</v>
      </c>
      <c r="AA6" s="69">
        <f t="shared" si="0"/>
        <v>18.888095238095239</v>
      </c>
      <c r="AB6" s="69">
        <f t="shared" si="0"/>
        <v>14.000000000000002</v>
      </c>
      <c r="AC6" s="68">
        <f t="shared" si="0"/>
        <v>46</v>
      </c>
      <c r="AD6" s="68">
        <f t="shared" si="0"/>
        <v>33.979074074074056</v>
      </c>
      <c r="AE6" s="65">
        <f t="shared" ref="AE6:AN6" si="1">SUM(AE7:AE18)</f>
        <v>1</v>
      </c>
      <c r="AF6" s="65">
        <f t="shared" si="1"/>
        <v>1</v>
      </c>
      <c r="AG6" s="65">
        <f t="shared" si="1"/>
        <v>5</v>
      </c>
      <c r="AH6" s="65">
        <f t="shared" si="1"/>
        <v>1</v>
      </c>
      <c r="AI6" s="65">
        <f t="shared" si="1"/>
        <v>0</v>
      </c>
      <c r="AJ6" s="65">
        <f t="shared" si="1"/>
        <v>0</v>
      </c>
      <c r="AK6" s="65">
        <f t="shared" si="1"/>
        <v>0</v>
      </c>
      <c r="AL6" s="65">
        <f t="shared" si="1"/>
        <v>0</v>
      </c>
      <c r="AM6" s="65">
        <f t="shared" si="1"/>
        <v>0</v>
      </c>
      <c r="AN6" s="65">
        <f t="shared" si="1"/>
        <v>0</v>
      </c>
      <c r="AO6" s="71"/>
      <c r="AP6" s="72"/>
    </row>
    <row r="7" spans="1:42" s="7" customFormat="1" ht="21.95" customHeight="1" x14ac:dyDescent="0.2">
      <c r="A7" s="348" t="s">
        <v>44</v>
      </c>
      <c r="B7" s="262" t="s">
        <v>18</v>
      </c>
      <c r="C7" s="75" t="s">
        <v>38</v>
      </c>
      <c r="D7" s="75" t="s">
        <v>38</v>
      </c>
      <c r="E7" s="75">
        <v>2</v>
      </c>
      <c r="F7" s="75" t="s">
        <v>38</v>
      </c>
      <c r="G7" s="76" t="s">
        <v>38</v>
      </c>
      <c r="H7" s="76" t="s">
        <v>38</v>
      </c>
      <c r="I7" s="76">
        <v>1</v>
      </c>
      <c r="J7" s="77" t="s">
        <v>38</v>
      </c>
      <c r="K7" s="78">
        <f t="shared" ref="K7:K18" si="2">SUM(D7:J7)</f>
        <v>3</v>
      </c>
      <c r="L7" s="79">
        <f>-L8</f>
        <v>0</v>
      </c>
      <c r="M7" s="236">
        <f t="shared" ref="M7:M19" si="3">K7-L7</f>
        <v>3</v>
      </c>
      <c r="N7" s="81">
        <v>0</v>
      </c>
      <c r="O7" s="81">
        <f>14.3333333333333*1.8</f>
        <v>25.79999999999994</v>
      </c>
      <c r="P7" s="82">
        <f t="shared" ref="P7:P19" si="4">SUM(N7:O7)</f>
        <v>25.79999999999994</v>
      </c>
      <c r="Q7" s="83">
        <f t="shared" ref="Q7:Q18" si="5">P7/30</f>
        <v>0.85999999999999799</v>
      </c>
      <c r="R7" s="84">
        <f t="shared" ref="R7:R18" si="6">(P7*0.05)+P7</f>
        <v>27.089999999999936</v>
      </c>
      <c r="S7" s="83">
        <f>R7/30</f>
        <v>0.90299999999999792</v>
      </c>
      <c r="T7" s="85">
        <v>0</v>
      </c>
      <c r="U7" s="86">
        <v>32</v>
      </c>
      <c r="V7" s="78">
        <f t="shared" ref="V7:V12" si="7">SUM(T7:U7)</f>
        <v>32</v>
      </c>
      <c r="W7" s="78">
        <f>V7/2</f>
        <v>16</v>
      </c>
      <c r="X7" s="87">
        <f>V7/28</f>
        <v>1.1428571428571428</v>
      </c>
      <c r="Y7" s="88">
        <f>W7/14</f>
        <v>1.1428571428571428</v>
      </c>
      <c r="Z7" s="89">
        <f t="shared" ref="Z7:Z18" si="8">Q7-M7</f>
        <v>-2.1400000000000019</v>
      </c>
      <c r="AA7" s="89">
        <f t="shared" ref="AA7:AA18" si="9">X7-M7</f>
        <v>-1.8571428571428572</v>
      </c>
      <c r="AB7" s="89">
        <f>Y7-M7</f>
        <v>-1.8571428571428572</v>
      </c>
      <c r="AC7" s="90">
        <v>3</v>
      </c>
      <c r="AD7" s="91">
        <f t="shared" ref="AD7:AD18" si="10">P7/30</f>
        <v>0.85999999999999799</v>
      </c>
      <c r="AE7" s="92" t="s">
        <v>38</v>
      </c>
      <c r="AF7" s="92" t="s">
        <v>38</v>
      </c>
      <c r="AG7" s="92">
        <v>2</v>
      </c>
      <c r="AH7" s="92" t="s">
        <v>38</v>
      </c>
      <c r="AI7" s="92" t="s">
        <v>38</v>
      </c>
      <c r="AJ7" s="93" t="s">
        <v>38</v>
      </c>
      <c r="AK7" s="93" t="s">
        <v>38</v>
      </c>
      <c r="AL7" s="93" t="s">
        <v>38</v>
      </c>
      <c r="AM7" s="93" t="s">
        <v>38</v>
      </c>
      <c r="AN7" s="93" t="s">
        <v>38</v>
      </c>
      <c r="AO7" s="94" t="s">
        <v>127</v>
      </c>
      <c r="AP7" s="95"/>
    </row>
    <row r="8" spans="1:42" s="10" customFormat="1" ht="21.95" customHeight="1" x14ac:dyDescent="0.2">
      <c r="A8" s="348"/>
      <c r="B8" s="262" t="s">
        <v>19</v>
      </c>
      <c r="C8" s="96" t="s">
        <v>38</v>
      </c>
      <c r="D8" s="96" t="s">
        <v>38</v>
      </c>
      <c r="E8" s="96">
        <v>1</v>
      </c>
      <c r="F8" s="96" t="s">
        <v>38</v>
      </c>
      <c r="G8" s="97" t="s">
        <v>38</v>
      </c>
      <c r="H8" s="97" t="s">
        <v>38</v>
      </c>
      <c r="I8" s="97">
        <v>1</v>
      </c>
      <c r="J8" s="97">
        <v>3</v>
      </c>
      <c r="K8" s="78">
        <f t="shared" si="2"/>
        <v>5</v>
      </c>
      <c r="L8" s="79">
        <v>0</v>
      </c>
      <c r="M8" s="236">
        <f t="shared" si="3"/>
        <v>5</v>
      </c>
      <c r="N8" s="98">
        <v>0</v>
      </c>
      <c r="O8" s="98">
        <f>19.8333333333333*1.8</f>
        <v>35.699999999999939</v>
      </c>
      <c r="P8" s="82">
        <f t="shared" si="4"/>
        <v>35.699999999999939</v>
      </c>
      <c r="Q8" s="83">
        <f t="shared" si="5"/>
        <v>1.1899999999999979</v>
      </c>
      <c r="R8" s="84">
        <f t="shared" si="6"/>
        <v>37.484999999999935</v>
      </c>
      <c r="S8" s="83">
        <f t="shared" ref="S8:S18" si="11">R8/30</f>
        <v>1.2494999999999978</v>
      </c>
      <c r="T8" s="99">
        <f>228+99</f>
        <v>327</v>
      </c>
      <c r="U8" s="86">
        <v>32</v>
      </c>
      <c r="V8" s="78">
        <f t="shared" si="7"/>
        <v>359</v>
      </c>
      <c r="W8" s="78">
        <f t="shared" ref="W8:W73" si="12">V8/2</f>
        <v>179.5</v>
      </c>
      <c r="X8" s="87">
        <f>V8/12</f>
        <v>29.916666666666668</v>
      </c>
      <c r="Y8" s="88">
        <f>W8/14</f>
        <v>12.821428571428571</v>
      </c>
      <c r="Z8" s="100">
        <f t="shared" si="8"/>
        <v>-3.8100000000000023</v>
      </c>
      <c r="AA8" s="100">
        <f t="shared" si="9"/>
        <v>24.916666666666668</v>
      </c>
      <c r="AB8" s="100">
        <f t="shared" ref="AB8:AB33" si="13">Y8-M8</f>
        <v>7.8214285714285712</v>
      </c>
      <c r="AC8" s="90">
        <v>3</v>
      </c>
      <c r="AD8" s="91">
        <f t="shared" si="10"/>
        <v>1.1899999999999979</v>
      </c>
      <c r="AE8" s="101" t="s">
        <v>38</v>
      </c>
      <c r="AF8" s="101" t="s">
        <v>38</v>
      </c>
      <c r="AG8" s="101" t="s">
        <v>38</v>
      </c>
      <c r="AH8" s="101" t="s">
        <v>38</v>
      </c>
      <c r="AI8" s="101" t="s">
        <v>38</v>
      </c>
      <c r="AJ8" s="93" t="s">
        <v>38</v>
      </c>
      <c r="AK8" s="93" t="s">
        <v>38</v>
      </c>
      <c r="AL8" s="93" t="s">
        <v>38</v>
      </c>
      <c r="AM8" s="93" t="s">
        <v>38</v>
      </c>
      <c r="AN8" s="93" t="s">
        <v>38</v>
      </c>
      <c r="AO8" s="94"/>
      <c r="AP8" s="63"/>
    </row>
    <row r="9" spans="1:42" s="7" customFormat="1" ht="21.95" customHeight="1" x14ac:dyDescent="0.2">
      <c r="A9" s="73" t="s">
        <v>46</v>
      </c>
      <c r="B9" s="263" t="s">
        <v>21</v>
      </c>
      <c r="C9" s="75" t="s">
        <v>38</v>
      </c>
      <c r="D9" s="75" t="s">
        <v>38</v>
      </c>
      <c r="E9" s="75">
        <v>3</v>
      </c>
      <c r="F9" s="75">
        <v>1</v>
      </c>
      <c r="G9" s="76" t="s">
        <v>38</v>
      </c>
      <c r="H9" s="76" t="s">
        <v>38</v>
      </c>
      <c r="I9" s="76">
        <v>3</v>
      </c>
      <c r="J9" s="97" t="s">
        <v>38</v>
      </c>
      <c r="K9" s="78">
        <f t="shared" si="2"/>
        <v>7</v>
      </c>
      <c r="L9" s="79">
        <v>0</v>
      </c>
      <c r="M9" s="236">
        <f t="shared" si="3"/>
        <v>7</v>
      </c>
      <c r="N9" s="81">
        <v>228.444444444444</v>
      </c>
      <c r="O9" s="81">
        <v>0</v>
      </c>
      <c r="P9" s="82">
        <f t="shared" si="4"/>
        <v>228.444444444444</v>
      </c>
      <c r="Q9" s="83">
        <f t="shared" si="5"/>
        <v>7.6148148148148005</v>
      </c>
      <c r="R9" s="84">
        <f t="shared" si="6"/>
        <v>239.86666666666619</v>
      </c>
      <c r="S9" s="83">
        <f t="shared" si="11"/>
        <v>7.9955555555555398</v>
      </c>
      <c r="T9" s="103">
        <v>207</v>
      </c>
      <c r="U9" s="85">
        <v>0</v>
      </c>
      <c r="V9" s="78">
        <f t="shared" si="7"/>
        <v>207</v>
      </c>
      <c r="W9" s="78">
        <f t="shared" si="12"/>
        <v>103.5</v>
      </c>
      <c r="X9" s="87">
        <f t="shared" ref="X9:X18" si="14">V9/35</f>
        <v>5.9142857142857146</v>
      </c>
      <c r="Y9" s="88">
        <f t="shared" ref="Y9:Y73" si="15">W9/14</f>
        <v>7.3928571428571432</v>
      </c>
      <c r="Z9" s="89">
        <f t="shared" si="8"/>
        <v>0.61481481481480049</v>
      </c>
      <c r="AA9" s="89">
        <f t="shared" si="9"/>
        <v>-1.0857142857142854</v>
      </c>
      <c r="AB9" s="89">
        <f t="shared" si="13"/>
        <v>0.39285714285714324</v>
      </c>
      <c r="AC9" s="90">
        <v>5</v>
      </c>
      <c r="AD9" s="91">
        <f t="shared" si="10"/>
        <v>7.6148148148148005</v>
      </c>
      <c r="AE9" s="92" t="s">
        <v>38</v>
      </c>
      <c r="AF9" s="92" t="s">
        <v>38</v>
      </c>
      <c r="AG9" s="92">
        <v>1</v>
      </c>
      <c r="AH9" s="92">
        <v>1</v>
      </c>
      <c r="AI9" s="92" t="s">
        <v>38</v>
      </c>
      <c r="AJ9" s="93" t="s">
        <v>38</v>
      </c>
      <c r="AK9" s="93" t="s">
        <v>38</v>
      </c>
      <c r="AL9" s="93" t="s">
        <v>38</v>
      </c>
      <c r="AM9" s="93" t="s">
        <v>38</v>
      </c>
      <c r="AN9" s="93" t="s">
        <v>38</v>
      </c>
      <c r="AO9" s="94"/>
      <c r="AP9" s="95"/>
    </row>
    <row r="10" spans="1:42" s="10" customFormat="1" ht="21.95" customHeight="1" x14ac:dyDescent="0.2">
      <c r="A10" s="104" t="s">
        <v>225</v>
      </c>
      <c r="B10" s="262" t="s">
        <v>21</v>
      </c>
      <c r="C10" s="75" t="s">
        <v>38</v>
      </c>
      <c r="D10" s="75" t="s">
        <v>38</v>
      </c>
      <c r="E10" s="75">
        <v>2</v>
      </c>
      <c r="F10" s="75">
        <v>2</v>
      </c>
      <c r="G10" s="76" t="s">
        <v>38</v>
      </c>
      <c r="H10" s="76" t="s">
        <v>38</v>
      </c>
      <c r="I10" s="76">
        <v>1</v>
      </c>
      <c r="J10" s="77">
        <v>4</v>
      </c>
      <c r="K10" s="78">
        <f t="shared" si="2"/>
        <v>9</v>
      </c>
      <c r="L10" s="79">
        <v>0</v>
      </c>
      <c r="M10" s="236">
        <f t="shared" si="3"/>
        <v>9</v>
      </c>
      <c r="N10" s="98">
        <v>126.30555555555556</v>
      </c>
      <c r="O10" s="98">
        <v>0</v>
      </c>
      <c r="P10" s="82">
        <f t="shared" si="4"/>
        <v>126.30555555555556</v>
      </c>
      <c r="Q10" s="83">
        <f t="shared" si="5"/>
        <v>4.2101851851851855</v>
      </c>
      <c r="R10" s="84">
        <f t="shared" si="6"/>
        <v>132.62083333333334</v>
      </c>
      <c r="S10" s="83">
        <f t="shared" si="11"/>
        <v>4.4206944444444449</v>
      </c>
      <c r="T10" s="103">
        <v>221</v>
      </c>
      <c r="U10" s="85">
        <v>0</v>
      </c>
      <c r="V10" s="78">
        <f t="shared" si="7"/>
        <v>221</v>
      </c>
      <c r="W10" s="78">
        <f t="shared" si="12"/>
        <v>110.5</v>
      </c>
      <c r="X10" s="87">
        <f t="shared" si="14"/>
        <v>6.3142857142857141</v>
      </c>
      <c r="Y10" s="88">
        <f t="shared" si="15"/>
        <v>7.8928571428571432</v>
      </c>
      <c r="Z10" s="100">
        <f t="shared" si="8"/>
        <v>-4.7898148148148145</v>
      </c>
      <c r="AA10" s="100">
        <f>X10-M10</f>
        <v>-2.6857142857142859</v>
      </c>
      <c r="AB10" s="100">
        <f>Y10-M10</f>
        <v>-1.1071428571428568</v>
      </c>
      <c r="AC10" s="90">
        <v>5</v>
      </c>
      <c r="AD10" s="91">
        <f t="shared" si="10"/>
        <v>4.2101851851851855</v>
      </c>
      <c r="AE10" s="101" t="s">
        <v>38</v>
      </c>
      <c r="AF10" s="101" t="s">
        <v>38</v>
      </c>
      <c r="AG10" s="101" t="s">
        <v>38</v>
      </c>
      <c r="AH10" s="101" t="s">
        <v>38</v>
      </c>
      <c r="AI10" s="101" t="s">
        <v>38</v>
      </c>
      <c r="AJ10" s="93" t="s">
        <v>38</v>
      </c>
      <c r="AK10" s="93" t="s">
        <v>38</v>
      </c>
      <c r="AL10" s="93" t="s">
        <v>38</v>
      </c>
      <c r="AM10" s="93" t="s">
        <v>38</v>
      </c>
      <c r="AN10" s="93" t="s">
        <v>38</v>
      </c>
      <c r="AO10" s="94"/>
      <c r="AP10" s="63"/>
    </row>
    <row r="11" spans="1:42" s="10" customFormat="1" ht="21.95" customHeight="1" x14ac:dyDescent="0.2">
      <c r="A11" s="348" t="s">
        <v>48</v>
      </c>
      <c r="B11" s="262" t="s">
        <v>128</v>
      </c>
      <c r="C11" s="105" t="s">
        <v>38</v>
      </c>
      <c r="D11" s="96">
        <v>1</v>
      </c>
      <c r="E11" s="96" t="s">
        <v>38</v>
      </c>
      <c r="F11" s="96" t="s">
        <v>38</v>
      </c>
      <c r="G11" s="106" t="s">
        <v>38</v>
      </c>
      <c r="H11" s="76" t="s">
        <v>38</v>
      </c>
      <c r="I11" s="76" t="s">
        <v>38</v>
      </c>
      <c r="J11" s="77" t="s">
        <v>38</v>
      </c>
      <c r="K11" s="78">
        <f t="shared" si="2"/>
        <v>1</v>
      </c>
      <c r="L11" s="79">
        <v>0</v>
      </c>
      <c r="M11" s="236">
        <f t="shared" si="3"/>
        <v>1</v>
      </c>
      <c r="N11" s="98">
        <v>0</v>
      </c>
      <c r="O11" s="98">
        <f>14.625*1.8</f>
        <v>26.324999999999999</v>
      </c>
      <c r="P11" s="82">
        <f t="shared" si="4"/>
        <v>26.324999999999999</v>
      </c>
      <c r="Q11" s="83">
        <f t="shared" si="5"/>
        <v>0.87749999999999995</v>
      </c>
      <c r="R11" s="84">
        <f t="shared" si="6"/>
        <v>27.641249999999999</v>
      </c>
      <c r="S11" s="83">
        <f t="shared" si="11"/>
        <v>0.92137499999999994</v>
      </c>
      <c r="T11" s="103">
        <v>0</v>
      </c>
      <c r="U11" s="107">
        <v>32</v>
      </c>
      <c r="V11" s="78">
        <f t="shared" si="7"/>
        <v>32</v>
      </c>
      <c r="W11" s="78">
        <f t="shared" si="12"/>
        <v>16</v>
      </c>
      <c r="X11" s="87">
        <f t="shared" si="14"/>
        <v>0.91428571428571426</v>
      </c>
      <c r="Y11" s="88">
        <f t="shared" si="15"/>
        <v>1.1428571428571428</v>
      </c>
      <c r="Z11" s="78">
        <v>0</v>
      </c>
      <c r="AA11" s="78">
        <v>0</v>
      </c>
      <c r="AB11" s="78">
        <v>0</v>
      </c>
      <c r="AC11" s="90">
        <v>3</v>
      </c>
      <c r="AD11" s="91">
        <f t="shared" si="10"/>
        <v>0.87749999999999995</v>
      </c>
      <c r="AE11" s="101" t="s">
        <v>38</v>
      </c>
      <c r="AF11" s="101" t="s">
        <v>38</v>
      </c>
      <c r="AG11" s="101" t="s">
        <v>38</v>
      </c>
      <c r="AH11" s="101" t="s">
        <v>38</v>
      </c>
      <c r="AI11" s="101" t="s">
        <v>38</v>
      </c>
      <c r="AJ11" s="93" t="s">
        <v>38</v>
      </c>
      <c r="AK11" s="93" t="s">
        <v>38</v>
      </c>
      <c r="AL11" s="93" t="s">
        <v>38</v>
      </c>
      <c r="AM11" s="93" t="s">
        <v>38</v>
      </c>
      <c r="AN11" s="93" t="s">
        <v>38</v>
      </c>
      <c r="AO11" s="94" t="s">
        <v>129</v>
      </c>
      <c r="AP11" s="63"/>
    </row>
    <row r="12" spans="1:42" s="10" customFormat="1" ht="21.95" customHeight="1" x14ac:dyDescent="0.2">
      <c r="A12" s="348"/>
      <c r="B12" s="262" t="s">
        <v>21</v>
      </c>
      <c r="C12" s="105" t="s">
        <v>38</v>
      </c>
      <c r="D12" s="105" t="s">
        <v>38</v>
      </c>
      <c r="E12" s="105">
        <v>2</v>
      </c>
      <c r="F12" s="105">
        <v>1</v>
      </c>
      <c r="G12" s="106" t="s">
        <v>38</v>
      </c>
      <c r="H12" s="76" t="s">
        <v>38</v>
      </c>
      <c r="I12" s="76">
        <v>1</v>
      </c>
      <c r="J12" s="76">
        <v>4</v>
      </c>
      <c r="K12" s="108">
        <f t="shared" si="2"/>
        <v>8</v>
      </c>
      <c r="L12" s="79">
        <v>0</v>
      </c>
      <c r="M12" s="236">
        <f t="shared" si="3"/>
        <v>8</v>
      </c>
      <c r="N12" s="98">
        <v>0</v>
      </c>
      <c r="O12" s="98">
        <v>70.361111111111114</v>
      </c>
      <c r="P12" s="82">
        <f t="shared" si="4"/>
        <v>70.361111111111114</v>
      </c>
      <c r="Q12" s="83">
        <f t="shared" si="5"/>
        <v>2.3453703703703703</v>
      </c>
      <c r="R12" s="84">
        <f t="shared" si="6"/>
        <v>73.879166666666663</v>
      </c>
      <c r="S12" s="83">
        <f t="shared" si="11"/>
        <v>2.4626388888888888</v>
      </c>
      <c r="T12" s="103">
        <v>194</v>
      </c>
      <c r="U12" s="85">
        <v>0</v>
      </c>
      <c r="V12" s="78">
        <f t="shared" si="7"/>
        <v>194</v>
      </c>
      <c r="W12" s="78">
        <f t="shared" si="12"/>
        <v>97</v>
      </c>
      <c r="X12" s="87">
        <f t="shared" si="14"/>
        <v>5.5428571428571427</v>
      </c>
      <c r="Y12" s="88">
        <f t="shared" si="15"/>
        <v>6.9285714285714288</v>
      </c>
      <c r="Z12" s="100">
        <f t="shared" si="8"/>
        <v>-5.6546296296296301</v>
      </c>
      <c r="AA12" s="100">
        <f t="shared" si="9"/>
        <v>-2.4571428571428573</v>
      </c>
      <c r="AB12" s="100">
        <f t="shared" si="13"/>
        <v>-1.0714285714285712</v>
      </c>
      <c r="AC12" s="90">
        <v>5</v>
      </c>
      <c r="AD12" s="91">
        <f t="shared" si="10"/>
        <v>2.3453703703703703</v>
      </c>
      <c r="AE12" s="101" t="s">
        <v>38</v>
      </c>
      <c r="AF12" s="101">
        <v>1</v>
      </c>
      <c r="AG12" s="101">
        <v>1</v>
      </c>
      <c r="AH12" s="101" t="s">
        <v>38</v>
      </c>
      <c r="AI12" s="101" t="s">
        <v>38</v>
      </c>
      <c r="AJ12" s="93" t="s">
        <v>38</v>
      </c>
      <c r="AK12" s="93" t="s">
        <v>38</v>
      </c>
      <c r="AL12" s="93" t="s">
        <v>38</v>
      </c>
      <c r="AM12" s="93" t="s">
        <v>38</v>
      </c>
      <c r="AN12" s="93" t="s">
        <v>38</v>
      </c>
      <c r="AO12" s="94" t="s">
        <v>130</v>
      </c>
      <c r="AP12" s="63"/>
    </row>
    <row r="13" spans="1:42" s="7" customFormat="1" ht="21.95" customHeight="1" x14ac:dyDescent="0.2">
      <c r="A13" s="348" t="s">
        <v>49</v>
      </c>
      <c r="B13" s="263" t="s">
        <v>19</v>
      </c>
      <c r="C13" s="75" t="s">
        <v>38</v>
      </c>
      <c r="D13" s="75" t="s">
        <v>38</v>
      </c>
      <c r="E13" s="75">
        <v>1</v>
      </c>
      <c r="F13" s="75" t="s">
        <v>38</v>
      </c>
      <c r="G13" s="76" t="s">
        <v>38</v>
      </c>
      <c r="H13" s="76" t="s">
        <v>38</v>
      </c>
      <c r="I13" s="76">
        <v>2</v>
      </c>
      <c r="J13" s="76" t="s">
        <v>38</v>
      </c>
      <c r="K13" s="108">
        <f t="shared" si="2"/>
        <v>3</v>
      </c>
      <c r="L13" s="79">
        <v>0</v>
      </c>
      <c r="M13" s="236">
        <f t="shared" si="3"/>
        <v>3</v>
      </c>
      <c r="N13" s="81">
        <v>0</v>
      </c>
      <c r="O13" s="81">
        <f>8.33333333333333*1.8</f>
        <v>14.999999999999995</v>
      </c>
      <c r="P13" s="82">
        <f t="shared" si="4"/>
        <v>14.999999999999995</v>
      </c>
      <c r="Q13" s="83">
        <f t="shared" si="5"/>
        <v>0.49999999999999983</v>
      </c>
      <c r="R13" s="84">
        <f t="shared" si="6"/>
        <v>15.749999999999995</v>
      </c>
      <c r="S13" s="83">
        <f t="shared" si="11"/>
        <v>0.5249999999999998</v>
      </c>
      <c r="T13" s="109">
        <v>0</v>
      </c>
      <c r="U13" s="86">
        <v>8</v>
      </c>
      <c r="V13" s="78">
        <f>SUM(U13:U13)</f>
        <v>8</v>
      </c>
      <c r="W13" s="78">
        <f t="shared" si="12"/>
        <v>4</v>
      </c>
      <c r="X13" s="87">
        <f t="shared" si="14"/>
        <v>0.22857142857142856</v>
      </c>
      <c r="Y13" s="88">
        <f t="shared" si="15"/>
        <v>0.2857142857142857</v>
      </c>
      <c r="Z13" s="89">
        <f t="shared" si="8"/>
        <v>-2.5</v>
      </c>
      <c r="AA13" s="89">
        <f t="shared" si="9"/>
        <v>-2.7714285714285714</v>
      </c>
      <c r="AB13" s="89">
        <f t="shared" si="13"/>
        <v>-2.7142857142857144</v>
      </c>
      <c r="AC13" s="90">
        <v>3</v>
      </c>
      <c r="AD13" s="91">
        <f t="shared" si="10"/>
        <v>0.49999999999999983</v>
      </c>
      <c r="AE13" s="92" t="s">
        <v>38</v>
      </c>
      <c r="AF13" s="92" t="s">
        <v>38</v>
      </c>
      <c r="AG13" s="92">
        <v>1</v>
      </c>
      <c r="AH13" s="92" t="s">
        <v>38</v>
      </c>
      <c r="AI13" s="92" t="s">
        <v>38</v>
      </c>
      <c r="AJ13" s="93" t="s">
        <v>38</v>
      </c>
      <c r="AK13" s="93" t="s">
        <v>38</v>
      </c>
      <c r="AL13" s="93" t="s">
        <v>38</v>
      </c>
      <c r="AM13" s="93" t="s">
        <v>38</v>
      </c>
      <c r="AN13" s="93" t="s">
        <v>38</v>
      </c>
      <c r="AO13" s="94" t="s">
        <v>131</v>
      </c>
      <c r="AP13" s="95"/>
    </row>
    <row r="14" spans="1:42" s="10" customFormat="1" ht="21.95" customHeight="1" x14ac:dyDescent="0.2">
      <c r="A14" s="348"/>
      <c r="B14" s="262" t="s">
        <v>21</v>
      </c>
      <c r="C14" s="75" t="s">
        <v>38</v>
      </c>
      <c r="D14" s="75" t="s">
        <v>38</v>
      </c>
      <c r="E14" s="75" t="s">
        <v>38</v>
      </c>
      <c r="F14" s="75" t="s">
        <v>38</v>
      </c>
      <c r="G14" s="76" t="s">
        <v>38</v>
      </c>
      <c r="H14" s="76" t="s">
        <v>38</v>
      </c>
      <c r="I14" s="76">
        <v>2</v>
      </c>
      <c r="J14" s="76">
        <v>4</v>
      </c>
      <c r="K14" s="108">
        <f t="shared" si="2"/>
        <v>6</v>
      </c>
      <c r="L14" s="79">
        <v>1</v>
      </c>
      <c r="M14" s="236">
        <f t="shared" si="3"/>
        <v>5</v>
      </c>
      <c r="N14" s="98">
        <v>93.472222222222229</v>
      </c>
      <c r="O14" s="98">
        <v>0</v>
      </c>
      <c r="P14" s="82">
        <f t="shared" si="4"/>
        <v>93.472222222222229</v>
      </c>
      <c r="Q14" s="83">
        <f t="shared" si="5"/>
        <v>3.1157407407407409</v>
      </c>
      <c r="R14" s="84">
        <f t="shared" si="6"/>
        <v>98.145833333333343</v>
      </c>
      <c r="S14" s="83">
        <f t="shared" si="11"/>
        <v>3.271527777777778</v>
      </c>
      <c r="T14" s="103">
        <v>271</v>
      </c>
      <c r="U14" s="85">
        <v>0</v>
      </c>
      <c r="V14" s="78">
        <f>SUM(T14:U14)</f>
        <v>271</v>
      </c>
      <c r="W14" s="78">
        <f t="shared" si="12"/>
        <v>135.5</v>
      </c>
      <c r="X14" s="87">
        <f t="shared" si="14"/>
        <v>7.7428571428571429</v>
      </c>
      <c r="Y14" s="88">
        <f t="shared" si="15"/>
        <v>9.6785714285714288</v>
      </c>
      <c r="Z14" s="100">
        <f t="shared" si="8"/>
        <v>-1.8842592592592591</v>
      </c>
      <c r="AA14" s="100">
        <f t="shared" si="9"/>
        <v>2.7428571428571429</v>
      </c>
      <c r="AB14" s="100">
        <f t="shared" si="13"/>
        <v>4.6785714285714288</v>
      </c>
      <c r="AC14" s="90">
        <v>5</v>
      </c>
      <c r="AD14" s="91">
        <f t="shared" si="10"/>
        <v>3.1157407407407409</v>
      </c>
      <c r="AE14" s="101" t="s">
        <v>38</v>
      </c>
      <c r="AF14" s="101" t="s">
        <v>38</v>
      </c>
      <c r="AG14" s="101" t="s">
        <v>38</v>
      </c>
      <c r="AH14" s="101" t="s">
        <v>38</v>
      </c>
      <c r="AI14" s="101" t="s">
        <v>38</v>
      </c>
      <c r="AJ14" s="93" t="s">
        <v>38</v>
      </c>
      <c r="AK14" s="93" t="s">
        <v>38</v>
      </c>
      <c r="AL14" s="93" t="s">
        <v>38</v>
      </c>
      <c r="AM14" s="93" t="s">
        <v>38</v>
      </c>
      <c r="AN14" s="93" t="s">
        <v>38</v>
      </c>
      <c r="AO14" s="94" t="s">
        <v>132</v>
      </c>
      <c r="AP14" s="63"/>
    </row>
    <row r="15" spans="1:42" s="7" customFormat="1" ht="21.95" customHeight="1" x14ac:dyDescent="0.2">
      <c r="A15" s="348" t="s">
        <v>50</v>
      </c>
      <c r="B15" s="263" t="s">
        <v>18</v>
      </c>
      <c r="C15" s="75" t="s">
        <v>38</v>
      </c>
      <c r="D15" s="75" t="s">
        <v>38</v>
      </c>
      <c r="E15" s="75">
        <v>1</v>
      </c>
      <c r="F15" s="75" t="s">
        <v>38</v>
      </c>
      <c r="G15" s="76" t="s">
        <v>38</v>
      </c>
      <c r="H15" s="76" t="s">
        <v>38</v>
      </c>
      <c r="I15" s="76" t="s">
        <v>38</v>
      </c>
      <c r="J15" s="76">
        <v>1</v>
      </c>
      <c r="K15" s="108">
        <f t="shared" si="2"/>
        <v>2</v>
      </c>
      <c r="L15" s="79">
        <v>0</v>
      </c>
      <c r="M15" s="236">
        <f t="shared" si="3"/>
        <v>2</v>
      </c>
      <c r="N15" s="81">
        <v>0</v>
      </c>
      <c r="O15" s="81">
        <f>31*1.8</f>
        <v>55.800000000000004</v>
      </c>
      <c r="P15" s="82">
        <f t="shared" si="4"/>
        <v>55.800000000000004</v>
      </c>
      <c r="Q15" s="83">
        <f t="shared" si="5"/>
        <v>1.86</v>
      </c>
      <c r="R15" s="84">
        <f t="shared" si="6"/>
        <v>58.59</v>
      </c>
      <c r="S15" s="83">
        <f t="shared" si="11"/>
        <v>1.9530000000000001</v>
      </c>
      <c r="T15" s="110"/>
      <c r="U15" s="86">
        <f>40</f>
        <v>40</v>
      </c>
      <c r="V15" s="85">
        <f>SUM(T15:U15)</f>
        <v>40</v>
      </c>
      <c r="W15" s="78">
        <f t="shared" si="12"/>
        <v>20</v>
      </c>
      <c r="X15" s="87">
        <f t="shared" si="14"/>
        <v>1.1428571428571428</v>
      </c>
      <c r="Y15" s="88">
        <f t="shared" si="15"/>
        <v>1.4285714285714286</v>
      </c>
      <c r="Z15" s="89">
        <f t="shared" si="8"/>
        <v>-0.1399999999999999</v>
      </c>
      <c r="AA15" s="89">
        <f t="shared" si="9"/>
        <v>-0.85714285714285721</v>
      </c>
      <c r="AB15" s="89">
        <f t="shared" si="13"/>
        <v>-0.5714285714285714</v>
      </c>
      <c r="AC15" s="90">
        <v>3</v>
      </c>
      <c r="AD15" s="91">
        <f t="shared" si="10"/>
        <v>1.86</v>
      </c>
      <c r="AE15" s="92">
        <v>1</v>
      </c>
      <c r="AF15" s="92" t="s">
        <v>38</v>
      </c>
      <c r="AG15" s="92" t="s">
        <v>38</v>
      </c>
      <c r="AH15" s="92" t="s">
        <v>38</v>
      </c>
      <c r="AI15" s="92" t="s">
        <v>38</v>
      </c>
      <c r="AJ15" s="93" t="s">
        <v>38</v>
      </c>
      <c r="AK15" s="93" t="s">
        <v>38</v>
      </c>
      <c r="AL15" s="93" t="s">
        <v>38</v>
      </c>
      <c r="AM15" s="93" t="s">
        <v>38</v>
      </c>
      <c r="AN15" s="93" t="s">
        <v>38</v>
      </c>
      <c r="AO15" s="94" t="s">
        <v>132</v>
      </c>
      <c r="AP15" s="95"/>
    </row>
    <row r="16" spans="1:42" s="10" customFormat="1" ht="21.95" customHeight="1" x14ac:dyDescent="0.2">
      <c r="A16" s="348"/>
      <c r="B16" s="262" t="s">
        <v>19</v>
      </c>
      <c r="C16" s="75" t="s">
        <v>38</v>
      </c>
      <c r="D16" s="75">
        <v>1</v>
      </c>
      <c r="E16" s="75">
        <v>2</v>
      </c>
      <c r="F16" s="75" t="s">
        <v>38</v>
      </c>
      <c r="G16" s="76" t="s">
        <v>38</v>
      </c>
      <c r="H16" s="76" t="s">
        <v>38</v>
      </c>
      <c r="I16" s="76">
        <v>1</v>
      </c>
      <c r="J16" s="76" t="s">
        <v>38</v>
      </c>
      <c r="K16" s="108">
        <f t="shared" si="2"/>
        <v>4</v>
      </c>
      <c r="L16" s="79">
        <v>0</v>
      </c>
      <c r="M16" s="236">
        <f t="shared" si="3"/>
        <v>4</v>
      </c>
      <c r="N16" s="98">
        <v>0</v>
      </c>
      <c r="O16" s="98">
        <f>54.4166666666667*1.8</f>
        <v>97.95000000000006</v>
      </c>
      <c r="P16" s="82">
        <f t="shared" si="4"/>
        <v>97.95000000000006</v>
      </c>
      <c r="Q16" s="83">
        <f t="shared" si="5"/>
        <v>3.2650000000000019</v>
      </c>
      <c r="R16" s="84">
        <f t="shared" si="6"/>
        <v>102.84750000000007</v>
      </c>
      <c r="S16" s="83">
        <f t="shared" si="11"/>
        <v>3.4282500000000025</v>
      </c>
      <c r="T16" s="111">
        <f>38+228</f>
        <v>266</v>
      </c>
      <c r="U16" s="86">
        <f>42</f>
        <v>42</v>
      </c>
      <c r="V16" s="85">
        <f>SUM(T16:U16)</f>
        <v>308</v>
      </c>
      <c r="W16" s="78">
        <f t="shared" si="12"/>
        <v>154</v>
      </c>
      <c r="X16" s="87">
        <f t="shared" si="14"/>
        <v>8.8000000000000007</v>
      </c>
      <c r="Y16" s="88">
        <f t="shared" si="15"/>
        <v>11</v>
      </c>
      <c r="Z16" s="100">
        <f t="shared" si="8"/>
        <v>-0.7349999999999981</v>
      </c>
      <c r="AA16" s="100">
        <f t="shared" si="9"/>
        <v>4.8000000000000007</v>
      </c>
      <c r="AB16" s="100">
        <f t="shared" si="13"/>
        <v>7</v>
      </c>
      <c r="AC16" s="90">
        <v>3</v>
      </c>
      <c r="AD16" s="91">
        <f t="shared" si="10"/>
        <v>3.2650000000000019</v>
      </c>
      <c r="AE16" s="101" t="s">
        <v>38</v>
      </c>
      <c r="AF16" s="101" t="s">
        <v>38</v>
      </c>
      <c r="AG16" s="101" t="s">
        <v>38</v>
      </c>
      <c r="AH16" s="101" t="s">
        <v>38</v>
      </c>
      <c r="AI16" s="101" t="s">
        <v>38</v>
      </c>
      <c r="AJ16" s="93" t="s">
        <v>38</v>
      </c>
      <c r="AK16" s="93" t="s">
        <v>38</v>
      </c>
      <c r="AL16" s="93" t="s">
        <v>38</v>
      </c>
      <c r="AM16" s="93" t="s">
        <v>38</v>
      </c>
      <c r="AN16" s="93" t="s">
        <v>38</v>
      </c>
      <c r="AO16" s="94" t="s">
        <v>132</v>
      </c>
      <c r="AP16" s="63"/>
    </row>
    <row r="17" spans="1:42" s="7" customFormat="1" ht="21.95" customHeight="1" x14ac:dyDescent="0.2">
      <c r="A17" s="73" t="s">
        <v>51</v>
      </c>
      <c r="B17" s="263" t="s">
        <v>21</v>
      </c>
      <c r="C17" s="75" t="s">
        <v>38</v>
      </c>
      <c r="D17" s="75" t="s">
        <v>38</v>
      </c>
      <c r="E17" s="75">
        <v>1</v>
      </c>
      <c r="F17" s="75" t="s">
        <v>38</v>
      </c>
      <c r="G17" s="76" t="s">
        <v>38</v>
      </c>
      <c r="H17" s="76" t="s">
        <v>38</v>
      </c>
      <c r="I17" s="76">
        <v>2</v>
      </c>
      <c r="J17" s="77">
        <v>4</v>
      </c>
      <c r="K17" s="78">
        <f t="shared" si="2"/>
        <v>7</v>
      </c>
      <c r="L17" s="79">
        <v>0</v>
      </c>
      <c r="M17" s="236">
        <f t="shared" si="3"/>
        <v>7</v>
      </c>
      <c r="N17" s="98">
        <v>224.63888888888889</v>
      </c>
      <c r="O17" s="98">
        <v>0</v>
      </c>
      <c r="P17" s="82">
        <f t="shared" si="4"/>
        <v>224.63888888888889</v>
      </c>
      <c r="Q17" s="83">
        <f t="shared" si="5"/>
        <v>7.4879629629629632</v>
      </c>
      <c r="R17" s="84">
        <f t="shared" si="6"/>
        <v>235.87083333333334</v>
      </c>
      <c r="S17" s="83">
        <f t="shared" si="11"/>
        <v>7.8623611111111114</v>
      </c>
      <c r="T17" s="103">
        <f>238+112</f>
        <v>350</v>
      </c>
      <c r="U17" s="85">
        <v>0</v>
      </c>
      <c r="V17" s="78">
        <f>SUM(T17:U17)</f>
        <v>350</v>
      </c>
      <c r="W17" s="78">
        <f t="shared" si="12"/>
        <v>175</v>
      </c>
      <c r="X17" s="87">
        <f t="shared" si="14"/>
        <v>10</v>
      </c>
      <c r="Y17" s="88">
        <f t="shared" si="15"/>
        <v>12.5</v>
      </c>
      <c r="Z17" s="89">
        <f t="shared" si="8"/>
        <v>0.48796296296296315</v>
      </c>
      <c r="AA17" s="89">
        <f t="shared" si="9"/>
        <v>3</v>
      </c>
      <c r="AB17" s="89">
        <f t="shared" si="13"/>
        <v>5.5</v>
      </c>
      <c r="AC17" s="90">
        <v>5</v>
      </c>
      <c r="AD17" s="91">
        <f t="shared" si="10"/>
        <v>7.4879629629629632</v>
      </c>
      <c r="AE17" s="92" t="s">
        <v>38</v>
      </c>
      <c r="AF17" s="92" t="s">
        <v>38</v>
      </c>
      <c r="AG17" s="92" t="s">
        <v>38</v>
      </c>
      <c r="AH17" s="92" t="s">
        <v>38</v>
      </c>
      <c r="AI17" s="92" t="s">
        <v>38</v>
      </c>
      <c r="AJ17" s="93" t="s">
        <v>38</v>
      </c>
      <c r="AK17" s="93" t="s">
        <v>38</v>
      </c>
      <c r="AL17" s="93" t="s">
        <v>38</v>
      </c>
      <c r="AM17" s="93" t="s">
        <v>38</v>
      </c>
      <c r="AN17" s="93" t="s">
        <v>38</v>
      </c>
      <c r="AO17" s="94" t="s">
        <v>132</v>
      </c>
      <c r="AP17" s="95"/>
    </row>
    <row r="18" spans="1:42" s="10" customFormat="1" ht="21.95" customHeight="1" x14ac:dyDescent="0.2">
      <c r="A18" s="112" t="s">
        <v>52</v>
      </c>
      <c r="B18" s="262" t="s">
        <v>19</v>
      </c>
      <c r="C18" s="96" t="s">
        <v>38</v>
      </c>
      <c r="D18" s="96">
        <v>1</v>
      </c>
      <c r="E18" s="96">
        <v>4</v>
      </c>
      <c r="F18" s="96" t="s">
        <v>38</v>
      </c>
      <c r="G18" s="97" t="s">
        <v>38</v>
      </c>
      <c r="H18" s="97" t="s">
        <v>38</v>
      </c>
      <c r="I18" s="97">
        <v>1</v>
      </c>
      <c r="J18" s="97">
        <v>2</v>
      </c>
      <c r="K18" s="78">
        <f t="shared" si="2"/>
        <v>8</v>
      </c>
      <c r="L18" s="79">
        <v>0</v>
      </c>
      <c r="M18" s="236">
        <f t="shared" si="3"/>
        <v>8</v>
      </c>
      <c r="N18" s="98">
        <v>0</v>
      </c>
      <c r="O18" s="98">
        <f>10.875*1.8</f>
        <v>19.574999999999999</v>
      </c>
      <c r="P18" s="82">
        <f t="shared" si="4"/>
        <v>19.574999999999999</v>
      </c>
      <c r="Q18" s="83">
        <f t="shared" si="5"/>
        <v>0.65249999999999997</v>
      </c>
      <c r="R18" s="84">
        <f t="shared" si="6"/>
        <v>20.553750000000001</v>
      </c>
      <c r="S18" s="83">
        <f t="shared" si="11"/>
        <v>0.68512499999999998</v>
      </c>
      <c r="T18" s="111">
        <v>104</v>
      </c>
      <c r="U18" s="85">
        <v>6</v>
      </c>
      <c r="V18" s="78">
        <f>SUM(T18:U18)</f>
        <v>110</v>
      </c>
      <c r="W18" s="78">
        <f t="shared" si="12"/>
        <v>55</v>
      </c>
      <c r="X18" s="87">
        <f t="shared" si="14"/>
        <v>3.1428571428571428</v>
      </c>
      <c r="Y18" s="88">
        <f t="shared" si="15"/>
        <v>3.9285714285714284</v>
      </c>
      <c r="Z18" s="100">
        <f t="shared" si="8"/>
        <v>-7.3475000000000001</v>
      </c>
      <c r="AA18" s="100">
        <f t="shared" si="9"/>
        <v>-4.8571428571428577</v>
      </c>
      <c r="AB18" s="100">
        <f t="shared" si="13"/>
        <v>-4.0714285714285712</v>
      </c>
      <c r="AC18" s="90">
        <v>3</v>
      </c>
      <c r="AD18" s="91">
        <f t="shared" si="10"/>
        <v>0.65249999999999997</v>
      </c>
      <c r="AE18" s="101" t="s">
        <v>38</v>
      </c>
      <c r="AF18" s="101" t="s">
        <v>38</v>
      </c>
      <c r="AG18" s="101" t="s">
        <v>38</v>
      </c>
      <c r="AH18" s="101" t="s">
        <v>38</v>
      </c>
      <c r="AI18" s="101" t="s">
        <v>38</v>
      </c>
      <c r="AJ18" s="93" t="s">
        <v>38</v>
      </c>
      <c r="AK18" s="93" t="s">
        <v>38</v>
      </c>
      <c r="AL18" s="93" t="s">
        <v>38</v>
      </c>
      <c r="AM18" s="93" t="s">
        <v>38</v>
      </c>
      <c r="AN18" s="93" t="s">
        <v>38</v>
      </c>
      <c r="AO18" s="94"/>
      <c r="AP18" s="63"/>
    </row>
    <row r="19" spans="1:42" s="10" customFormat="1" ht="21.95" customHeight="1" x14ac:dyDescent="0.2">
      <c r="A19" s="112" t="s">
        <v>53</v>
      </c>
      <c r="B19" s="262"/>
      <c r="C19" s="96" t="s">
        <v>38</v>
      </c>
      <c r="D19" s="96" t="s">
        <v>38</v>
      </c>
      <c r="E19" s="96" t="s">
        <v>38</v>
      </c>
      <c r="F19" s="96" t="s">
        <v>38</v>
      </c>
      <c r="G19" s="97" t="s">
        <v>38</v>
      </c>
      <c r="H19" s="97" t="s">
        <v>38</v>
      </c>
      <c r="I19" s="97" t="s">
        <v>38</v>
      </c>
      <c r="J19" s="97" t="s">
        <v>38</v>
      </c>
      <c r="K19" s="78"/>
      <c r="L19" s="79">
        <v>0</v>
      </c>
      <c r="M19" s="236">
        <f t="shared" si="3"/>
        <v>0</v>
      </c>
      <c r="N19" s="98"/>
      <c r="O19" s="98" t="s">
        <v>38</v>
      </c>
      <c r="P19" s="82">
        <f t="shared" si="4"/>
        <v>0</v>
      </c>
      <c r="Q19" s="113" t="s">
        <v>38</v>
      </c>
      <c r="R19" s="114" t="s">
        <v>38</v>
      </c>
      <c r="S19" s="113" t="s">
        <v>38</v>
      </c>
      <c r="T19" s="115" t="s">
        <v>38</v>
      </c>
      <c r="U19" s="115" t="s">
        <v>38</v>
      </c>
      <c r="V19" s="115" t="s">
        <v>38</v>
      </c>
      <c r="W19" s="115" t="s">
        <v>38</v>
      </c>
      <c r="X19" s="116" t="s">
        <v>38</v>
      </c>
      <c r="Y19" s="117" t="s">
        <v>38</v>
      </c>
      <c r="Z19" s="118" t="s">
        <v>38</v>
      </c>
      <c r="AA19" s="118" t="s">
        <v>38</v>
      </c>
      <c r="AB19" s="118" t="s">
        <v>38</v>
      </c>
      <c r="AC19" s="90" t="s">
        <v>38</v>
      </c>
      <c r="AD19" s="119" t="s">
        <v>38</v>
      </c>
      <c r="AE19" s="120" t="s">
        <v>38</v>
      </c>
      <c r="AF19" s="120" t="s">
        <v>38</v>
      </c>
      <c r="AG19" s="120" t="s">
        <v>38</v>
      </c>
      <c r="AH19" s="120" t="s">
        <v>38</v>
      </c>
      <c r="AI19" s="120" t="s">
        <v>38</v>
      </c>
      <c r="AJ19" s="121" t="s">
        <v>38</v>
      </c>
      <c r="AK19" s="121" t="s">
        <v>38</v>
      </c>
      <c r="AL19" s="121" t="s">
        <v>38</v>
      </c>
      <c r="AM19" s="121" t="s">
        <v>38</v>
      </c>
      <c r="AN19" s="121" t="s">
        <v>38</v>
      </c>
      <c r="AO19" s="94"/>
      <c r="AP19" s="63"/>
    </row>
    <row r="20" spans="1:42" s="9" customFormat="1" ht="21.95" customHeight="1" x14ac:dyDescent="0.2">
      <c r="A20" s="64" t="s">
        <v>54</v>
      </c>
      <c r="B20" s="264"/>
      <c r="C20" s="122">
        <f>SUM(C21:C45)</f>
        <v>0</v>
      </c>
      <c r="D20" s="122">
        <f t="shared" ref="D20:AO20" si="16">SUM(D21:D45)</f>
        <v>2</v>
      </c>
      <c r="E20" s="122">
        <f t="shared" si="16"/>
        <v>15</v>
      </c>
      <c r="F20" s="122">
        <f t="shared" si="16"/>
        <v>5</v>
      </c>
      <c r="G20" s="122">
        <f t="shared" si="16"/>
        <v>0</v>
      </c>
      <c r="H20" s="122">
        <f t="shared" si="16"/>
        <v>0</v>
      </c>
      <c r="I20" s="122">
        <f t="shared" si="16"/>
        <v>48</v>
      </c>
      <c r="J20" s="122">
        <f t="shared" si="16"/>
        <v>85</v>
      </c>
      <c r="K20" s="122">
        <f t="shared" si="16"/>
        <v>155</v>
      </c>
      <c r="L20" s="122">
        <f t="shared" si="16"/>
        <v>3</v>
      </c>
      <c r="M20" s="122">
        <f t="shared" si="16"/>
        <v>152</v>
      </c>
      <c r="N20" s="235">
        <f t="shared" si="16"/>
        <v>3730.6550000000002</v>
      </c>
      <c r="O20" s="122">
        <f t="shared" si="16"/>
        <v>90</v>
      </c>
      <c r="P20" s="235">
        <f t="shared" si="16"/>
        <v>3820.6550000000002</v>
      </c>
      <c r="Q20" s="122">
        <f t="shared" si="16"/>
        <v>159.24203518518522</v>
      </c>
      <c r="R20" s="235">
        <f t="shared" si="16"/>
        <v>4011.6877500000005</v>
      </c>
      <c r="S20" s="122">
        <f t="shared" si="16"/>
        <v>167.2041369444444</v>
      </c>
      <c r="T20" s="255">
        <f t="shared" si="16"/>
        <v>5357</v>
      </c>
      <c r="U20" s="255">
        <f t="shared" si="16"/>
        <v>155</v>
      </c>
      <c r="V20" s="255">
        <f t="shared" si="16"/>
        <v>5512</v>
      </c>
      <c r="W20" s="255">
        <f t="shared" si="16"/>
        <v>2756</v>
      </c>
      <c r="X20" s="122">
        <f t="shared" si="16"/>
        <v>157.48571428571429</v>
      </c>
      <c r="Y20" s="122">
        <f t="shared" si="16"/>
        <v>196.85714285714289</v>
      </c>
      <c r="Z20" s="122">
        <f t="shared" si="16"/>
        <v>9.2420351851851823</v>
      </c>
      <c r="AA20" s="122">
        <f t="shared" si="16"/>
        <v>7.485714285714284</v>
      </c>
      <c r="AB20" s="122">
        <f t="shared" si="16"/>
        <v>46.857142857142854</v>
      </c>
      <c r="AC20" s="122">
        <f t="shared" si="16"/>
        <v>112</v>
      </c>
      <c r="AD20" s="122">
        <f t="shared" si="16"/>
        <v>23.072870370370371</v>
      </c>
      <c r="AE20" s="122">
        <f t="shared" si="16"/>
        <v>3</v>
      </c>
      <c r="AF20" s="122">
        <f t="shared" si="16"/>
        <v>2</v>
      </c>
      <c r="AG20" s="122">
        <f t="shared" si="16"/>
        <v>2</v>
      </c>
      <c r="AH20" s="122">
        <f t="shared" si="16"/>
        <v>2</v>
      </c>
      <c r="AI20" s="122">
        <f t="shared" si="16"/>
        <v>5</v>
      </c>
      <c r="AJ20" s="122">
        <f t="shared" si="16"/>
        <v>0</v>
      </c>
      <c r="AK20" s="122">
        <f t="shared" si="16"/>
        <v>2</v>
      </c>
      <c r="AL20" s="122">
        <f t="shared" si="16"/>
        <v>0</v>
      </c>
      <c r="AM20" s="122">
        <f t="shared" si="16"/>
        <v>0</v>
      </c>
      <c r="AN20" s="122">
        <f t="shared" si="16"/>
        <v>0</v>
      </c>
      <c r="AO20" s="122">
        <f t="shared" si="16"/>
        <v>0</v>
      </c>
      <c r="AP20" s="72"/>
    </row>
    <row r="21" spans="1:42" s="7" customFormat="1" ht="21.95" customHeight="1" x14ac:dyDescent="0.2">
      <c r="A21" s="123" t="s">
        <v>55</v>
      </c>
      <c r="B21" s="263" t="s">
        <v>21</v>
      </c>
      <c r="C21" s="96" t="s">
        <v>38</v>
      </c>
      <c r="D21" s="96" t="s">
        <v>38</v>
      </c>
      <c r="E21" s="96" t="s">
        <v>38</v>
      </c>
      <c r="F21" s="96" t="s">
        <v>38</v>
      </c>
      <c r="G21" s="97" t="s">
        <v>38</v>
      </c>
      <c r="H21" s="97" t="s">
        <v>38</v>
      </c>
      <c r="I21" s="97">
        <v>3</v>
      </c>
      <c r="J21" s="97">
        <v>4</v>
      </c>
      <c r="K21" s="78">
        <f t="shared" ref="K21:K44" si="17">SUM(D21:J21)</f>
        <v>7</v>
      </c>
      <c r="L21" s="79">
        <v>0</v>
      </c>
      <c r="M21" s="218">
        <f t="shared" ref="M21:M44" si="18">K21-L21</f>
        <v>7</v>
      </c>
      <c r="N21" s="81">
        <v>122.47222222222223</v>
      </c>
      <c r="O21" s="81">
        <v>0</v>
      </c>
      <c r="P21" s="82">
        <f>SUM(N21:N21)</f>
        <v>122.47222222222223</v>
      </c>
      <c r="Q21" s="83">
        <f>P21/30</f>
        <v>4.0824074074074073</v>
      </c>
      <c r="R21" s="84">
        <f t="shared" ref="R21:R83" si="19">(P21*0.05)+P21</f>
        <v>128.59583333333333</v>
      </c>
      <c r="S21" s="83">
        <f>R21/30</f>
        <v>4.2865277777777777</v>
      </c>
      <c r="T21" s="125">
        <v>516</v>
      </c>
      <c r="U21" s="85">
        <v>0</v>
      </c>
      <c r="V21" s="126">
        <f t="shared" ref="V21:V29" si="20">SUM(T21:U21)</f>
        <v>516</v>
      </c>
      <c r="W21" s="78">
        <f t="shared" si="12"/>
        <v>258</v>
      </c>
      <c r="X21" s="87">
        <f t="shared" ref="X21:X72" si="21">V21/35</f>
        <v>14.742857142857142</v>
      </c>
      <c r="Y21" s="88">
        <f t="shared" si="15"/>
        <v>18.428571428571427</v>
      </c>
      <c r="Z21" s="89">
        <f t="shared" ref="Z21:Z33" si="22">Q21-M21</f>
        <v>-2.9175925925925927</v>
      </c>
      <c r="AA21" s="89">
        <f t="shared" ref="AA21:AA33" si="23">X21-M21</f>
        <v>7.742857142857142</v>
      </c>
      <c r="AB21" s="89">
        <f t="shared" si="13"/>
        <v>11.428571428571427</v>
      </c>
      <c r="AC21" s="90">
        <v>5</v>
      </c>
      <c r="AD21" s="91">
        <f>P21/30</f>
        <v>4.0824074074074073</v>
      </c>
      <c r="AE21" s="92" t="s">
        <v>38</v>
      </c>
      <c r="AF21" s="92" t="s">
        <v>38</v>
      </c>
      <c r="AG21" s="92" t="s">
        <v>38</v>
      </c>
      <c r="AH21" s="92" t="s">
        <v>38</v>
      </c>
      <c r="AI21" s="92" t="s">
        <v>38</v>
      </c>
      <c r="AJ21" s="93" t="s">
        <v>38</v>
      </c>
      <c r="AK21" s="93" t="s">
        <v>38</v>
      </c>
      <c r="AL21" s="93" t="s">
        <v>38</v>
      </c>
      <c r="AM21" s="93" t="s">
        <v>38</v>
      </c>
      <c r="AN21" s="93" t="s">
        <v>38</v>
      </c>
      <c r="AO21" s="94"/>
      <c r="AP21" s="95"/>
    </row>
    <row r="22" spans="1:42" s="7" customFormat="1" ht="21.95" customHeight="1" x14ac:dyDescent="0.2">
      <c r="A22" s="127" t="s">
        <v>56</v>
      </c>
      <c r="B22" s="263" t="s">
        <v>22</v>
      </c>
      <c r="C22" s="75" t="s">
        <v>38</v>
      </c>
      <c r="D22" s="75">
        <v>1</v>
      </c>
      <c r="E22" s="75">
        <v>1</v>
      </c>
      <c r="F22" s="75" t="s">
        <v>38</v>
      </c>
      <c r="G22" s="76" t="s">
        <v>38</v>
      </c>
      <c r="H22" s="76" t="s">
        <v>38</v>
      </c>
      <c r="I22" s="76">
        <v>2</v>
      </c>
      <c r="J22" s="77">
        <v>3</v>
      </c>
      <c r="K22" s="78">
        <f t="shared" si="17"/>
        <v>7</v>
      </c>
      <c r="L22" s="79">
        <v>0</v>
      </c>
      <c r="M22" s="218">
        <f t="shared" si="18"/>
        <v>7</v>
      </c>
      <c r="N22" s="81">
        <v>50.861111111111114</v>
      </c>
      <c r="O22" s="81">
        <v>0</v>
      </c>
      <c r="P22" s="82">
        <f>SUM(N22:N22)</f>
        <v>50.861111111111114</v>
      </c>
      <c r="Q22" s="83">
        <f>P22/8</f>
        <v>6.3576388888888893</v>
      </c>
      <c r="R22" s="84">
        <f t="shared" si="19"/>
        <v>53.404166666666669</v>
      </c>
      <c r="S22" s="83">
        <f>R22/8</f>
        <v>6.6755208333333336</v>
      </c>
      <c r="T22" s="125">
        <v>233</v>
      </c>
      <c r="U22" s="85">
        <v>0</v>
      </c>
      <c r="V22" s="126">
        <f t="shared" si="20"/>
        <v>233</v>
      </c>
      <c r="W22" s="78">
        <f t="shared" si="12"/>
        <v>116.5</v>
      </c>
      <c r="X22" s="87">
        <f t="shared" si="21"/>
        <v>6.6571428571428575</v>
      </c>
      <c r="Y22" s="88">
        <f t="shared" si="15"/>
        <v>8.3214285714285712</v>
      </c>
      <c r="Z22" s="89">
        <f t="shared" si="22"/>
        <v>-0.64236111111111072</v>
      </c>
      <c r="AA22" s="89">
        <f t="shared" si="23"/>
        <v>-0.34285714285714253</v>
      </c>
      <c r="AB22" s="89">
        <f t="shared" si="13"/>
        <v>1.3214285714285712</v>
      </c>
      <c r="AC22" s="90">
        <v>5</v>
      </c>
      <c r="AD22" s="128" t="s">
        <v>38</v>
      </c>
      <c r="AE22" s="92" t="s">
        <v>38</v>
      </c>
      <c r="AF22" s="92" t="s">
        <v>38</v>
      </c>
      <c r="AG22" s="92" t="s">
        <v>38</v>
      </c>
      <c r="AH22" s="92" t="s">
        <v>38</v>
      </c>
      <c r="AI22" s="92" t="s">
        <v>38</v>
      </c>
      <c r="AJ22" s="93" t="s">
        <v>38</v>
      </c>
      <c r="AK22" s="93" t="s">
        <v>38</v>
      </c>
      <c r="AL22" s="93" t="s">
        <v>38</v>
      </c>
      <c r="AM22" s="93" t="s">
        <v>38</v>
      </c>
      <c r="AN22" s="93" t="s">
        <v>38</v>
      </c>
      <c r="AO22" s="94"/>
      <c r="AP22" s="95"/>
    </row>
    <row r="23" spans="1:42" s="7" customFormat="1" ht="21.95" customHeight="1" x14ac:dyDescent="0.2">
      <c r="A23" s="127" t="s">
        <v>57</v>
      </c>
      <c r="B23" s="263" t="s">
        <v>21</v>
      </c>
      <c r="C23" s="96" t="s">
        <v>38</v>
      </c>
      <c r="D23" s="96" t="s">
        <v>38</v>
      </c>
      <c r="E23" s="96">
        <v>1</v>
      </c>
      <c r="F23" s="96" t="s">
        <v>38</v>
      </c>
      <c r="G23" s="97" t="s">
        <v>38</v>
      </c>
      <c r="H23" s="97" t="s">
        <v>38</v>
      </c>
      <c r="I23" s="97">
        <v>6</v>
      </c>
      <c r="J23" s="97">
        <v>1</v>
      </c>
      <c r="K23" s="78">
        <f t="shared" si="17"/>
        <v>8</v>
      </c>
      <c r="L23" s="79">
        <v>0</v>
      </c>
      <c r="M23" s="218">
        <f t="shared" si="18"/>
        <v>8</v>
      </c>
      <c r="N23" s="81">
        <v>154.83333333333334</v>
      </c>
      <c r="O23" s="81">
        <v>0</v>
      </c>
      <c r="P23" s="82">
        <f>SUM(N23:N23)</f>
        <v>154.83333333333334</v>
      </c>
      <c r="Q23" s="83">
        <f>P23/30</f>
        <v>5.1611111111111114</v>
      </c>
      <c r="R23" s="84">
        <f t="shared" si="19"/>
        <v>162.57500000000002</v>
      </c>
      <c r="S23" s="83">
        <f>R23/30</f>
        <v>5.4191666666666674</v>
      </c>
      <c r="T23" s="125">
        <v>210</v>
      </c>
      <c r="U23" s="85">
        <v>0</v>
      </c>
      <c r="V23" s="126">
        <f t="shared" si="20"/>
        <v>210</v>
      </c>
      <c r="W23" s="78">
        <f t="shared" si="12"/>
        <v>105</v>
      </c>
      <c r="X23" s="87">
        <f t="shared" si="21"/>
        <v>6</v>
      </c>
      <c r="Y23" s="88">
        <f t="shared" si="15"/>
        <v>7.5</v>
      </c>
      <c r="Z23" s="89">
        <f t="shared" si="22"/>
        <v>-2.8388888888888886</v>
      </c>
      <c r="AA23" s="89">
        <f t="shared" si="23"/>
        <v>-2</v>
      </c>
      <c r="AB23" s="89">
        <f t="shared" si="13"/>
        <v>-0.5</v>
      </c>
      <c r="AC23" s="90">
        <v>5</v>
      </c>
      <c r="AD23" s="91">
        <f>P23/30</f>
        <v>5.1611111111111114</v>
      </c>
      <c r="AE23" s="92" t="s">
        <v>38</v>
      </c>
      <c r="AF23" s="92" t="s">
        <v>38</v>
      </c>
      <c r="AG23" s="92" t="s">
        <v>38</v>
      </c>
      <c r="AH23" s="92" t="s">
        <v>38</v>
      </c>
      <c r="AI23" s="92" t="s">
        <v>38</v>
      </c>
      <c r="AJ23" s="93" t="s">
        <v>38</v>
      </c>
      <c r="AK23" s="93" t="s">
        <v>38</v>
      </c>
      <c r="AL23" s="93" t="s">
        <v>38</v>
      </c>
      <c r="AM23" s="93" t="s">
        <v>38</v>
      </c>
      <c r="AN23" s="93" t="s">
        <v>38</v>
      </c>
      <c r="AO23" s="94"/>
      <c r="AP23" s="95"/>
    </row>
    <row r="24" spans="1:42" s="7" customFormat="1" ht="21.95" customHeight="1" x14ac:dyDescent="0.55000000000000004">
      <c r="A24" s="129" t="s">
        <v>58</v>
      </c>
      <c r="B24" s="263" t="s">
        <v>23</v>
      </c>
      <c r="C24" s="75" t="s">
        <v>38</v>
      </c>
      <c r="D24" s="75" t="s">
        <v>38</v>
      </c>
      <c r="E24" s="75">
        <v>1</v>
      </c>
      <c r="F24" s="75" t="s">
        <v>38</v>
      </c>
      <c r="G24" s="76" t="s">
        <v>38</v>
      </c>
      <c r="H24" s="76" t="s">
        <v>38</v>
      </c>
      <c r="I24" s="76">
        <v>4</v>
      </c>
      <c r="J24" s="77">
        <v>3</v>
      </c>
      <c r="K24" s="78">
        <f t="shared" si="17"/>
        <v>8</v>
      </c>
      <c r="L24" s="79">
        <v>0</v>
      </c>
      <c r="M24" s="218">
        <f t="shared" si="18"/>
        <v>8</v>
      </c>
      <c r="N24" s="81">
        <v>399.78</v>
      </c>
      <c r="O24" s="81">
        <v>0</v>
      </c>
      <c r="P24" s="82">
        <f>SUM(N24:N24)</f>
        <v>399.78</v>
      </c>
      <c r="Q24" s="83">
        <f>P24/50</f>
        <v>7.9955999999999996</v>
      </c>
      <c r="R24" s="84">
        <f t="shared" si="19"/>
        <v>419.76899999999995</v>
      </c>
      <c r="S24" s="83">
        <f>R24/50</f>
        <v>8.3953799999999994</v>
      </c>
      <c r="T24" s="125">
        <v>194</v>
      </c>
      <c r="U24" s="85">
        <v>0</v>
      </c>
      <c r="V24" s="126">
        <f t="shared" si="20"/>
        <v>194</v>
      </c>
      <c r="W24" s="78">
        <f t="shared" si="12"/>
        <v>97</v>
      </c>
      <c r="X24" s="87">
        <f t="shared" si="21"/>
        <v>5.5428571428571427</v>
      </c>
      <c r="Y24" s="88">
        <f t="shared" si="15"/>
        <v>6.9285714285714288</v>
      </c>
      <c r="Z24" s="89">
        <f t="shared" si="22"/>
        <v>-4.4000000000004036E-3</v>
      </c>
      <c r="AA24" s="89">
        <f t="shared" si="23"/>
        <v>-2.4571428571428573</v>
      </c>
      <c r="AB24" s="89">
        <f t="shared" si="13"/>
        <v>-1.0714285714285712</v>
      </c>
      <c r="AC24" s="90">
        <v>5</v>
      </c>
      <c r="AD24" s="128" t="s">
        <v>38</v>
      </c>
      <c r="AE24" s="92" t="s">
        <v>38</v>
      </c>
      <c r="AF24" s="92" t="s">
        <v>38</v>
      </c>
      <c r="AG24" s="92" t="s">
        <v>38</v>
      </c>
      <c r="AH24" s="92" t="s">
        <v>38</v>
      </c>
      <c r="AI24" s="92">
        <v>1</v>
      </c>
      <c r="AJ24" s="93" t="s">
        <v>38</v>
      </c>
      <c r="AK24" s="93" t="s">
        <v>38</v>
      </c>
      <c r="AL24" s="93" t="s">
        <v>38</v>
      </c>
      <c r="AM24" s="93" t="s">
        <v>38</v>
      </c>
      <c r="AN24" s="93" t="s">
        <v>38</v>
      </c>
      <c r="AO24" s="94" t="s">
        <v>130</v>
      </c>
      <c r="AP24" s="95"/>
    </row>
    <row r="25" spans="1:42" s="7" customFormat="1" ht="21.95" customHeight="1" x14ac:dyDescent="0.2">
      <c r="A25" s="123" t="s">
        <v>59</v>
      </c>
      <c r="B25" s="263" t="s">
        <v>24</v>
      </c>
      <c r="C25" s="75" t="s">
        <v>38</v>
      </c>
      <c r="D25" s="75" t="s">
        <v>38</v>
      </c>
      <c r="E25" s="75">
        <v>2</v>
      </c>
      <c r="F25" s="75" t="s">
        <v>38</v>
      </c>
      <c r="G25" s="76" t="s">
        <v>38</v>
      </c>
      <c r="H25" s="76" t="s">
        <v>38</v>
      </c>
      <c r="I25" s="76">
        <v>2</v>
      </c>
      <c r="J25" s="77">
        <v>1</v>
      </c>
      <c r="K25" s="78">
        <f t="shared" si="17"/>
        <v>5</v>
      </c>
      <c r="L25" s="79">
        <v>0</v>
      </c>
      <c r="M25" s="218">
        <f t="shared" si="18"/>
        <v>5</v>
      </c>
      <c r="N25" s="81">
        <v>60.5</v>
      </c>
      <c r="O25" s="81">
        <v>0</v>
      </c>
      <c r="P25" s="82">
        <f>SUM(N25:N25)</f>
        <v>60.5</v>
      </c>
      <c r="Q25" s="83">
        <f>P25/8</f>
        <v>7.5625</v>
      </c>
      <c r="R25" s="84">
        <f t="shared" si="19"/>
        <v>63.524999999999999</v>
      </c>
      <c r="S25" s="83">
        <f>R25/8</f>
        <v>7.9406249999999998</v>
      </c>
      <c r="T25" s="103">
        <v>113</v>
      </c>
      <c r="U25" s="85">
        <v>0</v>
      </c>
      <c r="V25" s="78">
        <f t="shared" si="20"/>
        <v>113</v>
      </c>
      <c r="W25" s="78">
        <f t="shared" si="12"/>
        <v>56.5</v>
      </c>
      <c r="X25" s="87">
        <f t="shared" si="21"/>
        <v>3.2285714285714286</v>
      </c>
      <c r="Y25" s="88">
        <f t="shared" si="15"/>
        <v>4.0357142857142856</v>
      </c>
      <c r="Z25" s="89">
        <f t="shared" si="22"/>
        <v>2.5625</v>
      </c>
      <c r="AA25" s="89">
        <f t="shared" si="23"/>
        <v>-1.7714285714285714</v>
      </c>
      <c r="AB25" s="89">
        <f t="shared" si="13"/>
        <v>-0.96428571428571441</v>
      </c>
      <c r="AC25" s="90">
        <v>5</v>
      </c>
      <c r="AD25" s="128" t="s">
        <v>38</v>
      </c>
      <c r="AE25" s="92" t="s">
        <v>38</v>
      </c>
      <c r="AF25" s="92" t="s">
        <v>38</v>
      </c>
      <c r="AG25" s="92" t="s">
        <v>38</v>
      </c>
      <c r="AH25" s="92" t="s">
        <v>38</v>
      </c>
      <c r="AI25" s="92">
        <v>1</v>
      </c>
      <c r="AJ25" s="93" t="s">
        <v>38</v>
      </c>
      <c r="AK25" s="93" t="s">
        <v>38</v>
      </c>
      <c r="AL25" s="93" t="s">
        <v>38</v>
      </c>
      <c r="AM25" s="93" t="s">
        <v>38</v>
      </c>
      <c r="AN25" s="93" t="s">
        <v>38</v>
      </c>
      <c r="AO25" s="94" t="s">
        <v>133</v>
      </c>
      <c r="AP25" s="95"/>
    </row>
    <row r="26" spans="1:42" s="7" customFormat="1" ht="21.95" customHeight="1" x14ac:dyDescent="0.2">
      <c r="A26" s="123" t="s">
        <v>60</v>
      </c>
      <c r="B26" s="263" t="s">
        <v>21</v>
      </c>
      <c r="C26" s="75" t="s">
        <v>38</v>
      </c>
      <c r="D26" s="75" t="s">
        <v>38</v>
      </c>
      <c r="E26" s="75">
        <v>1</v>
      </c>
      <c r="F26" s="75" t="s">
        <v>38</v>
      </c>
      <c r="G26" s="76" t="s">
        <v>38</v>
      </c>
      <c r="H26" s="76" t="s">
        <v>38</v>
      </c>
      <c r="I26" s="76">
        <v>5</v>
      </c>
      <c r="J26" s="77">
        <v>3</v>
      </c>
      <c r="K26" s="78">
        <f t="shared" si="17"/>
        <v>9</v>
      </c>
      <c r="L26" s="79">
        <v>0</v>
      </c>
      <c r="M26" s="218">
        <f t="shared" si="18"/>
        <v>9</v>
      </c>
      <c r="N26" s="81">
        <v>241.52777777777777</v>
      </c>
      <c r="O26" s="81">
        <v>0</v>
      </c>
      <c r="P26" s="82">
        <f t="shared" ref="P26:P44" si="24">SUM(N26:O26)</f>
        <v>241.52777777777777</v>
      </c>
      <c r="Q26" s="83">
        <f>P26/20</f>
        <v>12.076388888888889</v>
      </c>
      <c r="R26" s="84">
        <f t="shared" si="19"/>
        <v>253.60416666666666</v>
      </c>
      <c r="S26" s="83">
        <f>R26/20</f>
        <v>12.680208333333333</v>
      </c>
      <c r="T26" s="103">
        <v>221</v>
      </c>
      <c r="U26" s="85">
        <v>0</v>
      </c>
      <c r="V26" s="78">
        <f t="shared" si="20"/>
        <v>221</v>
      </c>
      <c r="W26" s="78">
        <f t="shared" si="12"/>
        <v>110.5</v>
      </c>
      <c r="X26" s="87">
        <f t="shared" si="21"/>
        <v>6.3142857142857141</v>
      </c>
      <c r="Y26" s="88">
        <f t="shared" si="15"/>
        <v>7.8928571428571432</v>
      </c>
      <c r="Z26" s="89">
        <f t="shared" si="22"/>
        <v>3.0763888888888893</v>
      </c>
      <c r="AA26" s="89">
        <f t="shared" si="23"/>
        <v>-2.6857142857142859</v>
      </c>
      <c r="AB26" s="89">
        <f t="shared" si="13"/>
        <v>-1.1071428571428568</v>
      </c>
      <c r="AC26" s="90">
        <v>5</v>
      </c>
      <c r="AD26" s="91">
        <f>P26/30</f>
        <v>8.0509259259259256</v>
      </c>
      <c r="AE26" s="92" t="s">
        <v>38</v>
      </c>
      <c r="AF26" s="92" t="s">
        <v>38</v>
      </c>
      <c r="AG26" s="92" t="s">
        <v>38</v>
      </c>
      <c r="AH26" s="92">
        <v>2</v>
      </c>
      <c r="AI26" s="92" t="s">
        <v>38</v>
      </c>
      <c r="AJ26" s="93" t="s">
        <v>38</v>
      </c>
      <c r="AK26" s="93" t="s">
        <v>38</v>
      </c>
      <c r="AL26" s="93" t="s">
        <v>38</v>
      </c>
      <c r="AM26" s="93" t="s">
        <v>38</v>
      </c>
      <c r="AN26" s="93" t="s">
        <v>38</v>
      </c>
      <c r="AO26" s="94" t="s">
        <v>130</v>
      </c>
      <c r="AP26" s="95"/>
    </row>
    <row r="27" spans="1:42" s="7" customFormat="1" ht="21.95" customHeight="1" x14ac:dyDescent="0.2">
      <c r="A27" s="123" t="s">
        <v>61</v>
      </c>
      <c r="B27" s="263" t="s">
        <v>21</v>
      </c>
      <c r="C27" s="75" t="s">
        <v>38</v>
      </c>
      <c r="D27" s="75" t="s">
        <v>38</v>
      </c>
      <c r="E27" s="75" t="s">
        <v>38</v>
      </c>
      <c r="F27" s="75">
        <v>1</v>
      </c>
      <c r="G27" s="76" t="s">
        <v>38</v>
      </c>
      <c r="H27" s="76" t="s">
        <v>38</v>
      </c>
      <c r="I27" s="76">
        <v>2</v>
      </c>
      <c r="J27" s="77">
        <v>5</v>
      </c>
      <c r="K27" s="78">
        <f t="shared" si="17"/>
        <v>8</v>
      </c>
      <c r="L27" s="79">
        <v>0</v>
      </c>
      <c r="M27" s="218">
        <f t="shared" si="18"/>
        <v>8</v>
      </c>
      <c r="N27" s="81">
        <v>98.972222222222229</v>
      </c>
      <c r="O27" s="81">
        <v>0</v>
      </c>
      <c r="P27" s="82">
        <f t="shared" si="24"/>
        <v>98.972222222222229</v>
      </c>
      <c r="Q27" s="83">
        <f>P27/20</f>
        <v>4.9486111111111111</v>
      </c>
      <c r="R27" s="84">
        <f t="shared" si="19"/>
        <v>103.92083333333333</v>
      </c>
      <c r="S27" s="83">
        <f>R27/20</f>
        <v>5.1960416666666669</v>
      </c>
      <c r="T27" s="103">
        <v>125</v>
      </c>
      <c r="U27" s="85">
        <v>0</v>
      </c>
      <c r="V27" s="78">
        <f t="shared" si="20"/>
        <v>125</v>
      </c>
      <c r="W27" s="78">
        <f t="shared" si="12"/>
        <v>62.5</v>
      </c>
      <c r="X27" s="87">
        <f t="shared" si="21"/>
        <v>3.5714285714285716</v>
      </c>
      <c r="Y27" s="88">
        <f t="shared" si="15"/>
        <v>4.4642857142857144</v>
      </c>
      <c r="Z27" s="89">
        <f t="shared" si="22"/>
        <v>-3.0513888888888889</v>
      </c>
      <c r="AA27" s="89">
        <f t="shared" si="23"/>
        <v>-4.4285714285714288</v>
      </c>
      <c r="AB27" s="89">
        <f t="shared" si="13"/>
        <v>-3.5357142857142856</v>
      </c>
      <c r="AC27" s="90">
        <v>5</v>
      </c>
      <c r="AD27" s="128" t="s">
        <v>38</v>
      </c>
      <c r="AE27" s="92" t="s">
        <v>38</v>
      </c>
      <c r="AF27" s="92" t="s">
        <v>38</v>
      </c>
      <c r="AG27" s="92">
        <v>1</v>
      </c>
      <c r="AH27" s="92" t="s">
        <v>38</v>
      </c>
      <c r="AI27" s="92" t="s">
        <v>38</v>
      </c>
      <c r="AJ27" s="93" t="s">
        <v>38</v>
      </c>
      <c r="AK27" s="93" t="s">
        <v>38</v>
      </c>
      <c r="AL27" s="93" t="s">
        <v>38</v>
      </c>
      <c r="AM27" s="93" t="s">
        <v>38</v>
      </c>
      <c r="AN27" s="93" t="s">
        <v>38</v>
      </c>
      <c r="AO27" s="94" t="s">
        <v>130</v>
      </c>
      <c r="AP27" s="95"/>
    </row>
    <row r="28" spans="1:42" s="7" customFormat="1" ht="21.95" customHeight="1" x14ac:dyDescent="0.2">
      <c r="A28" s="123" t="s">
        <v>62</v>
      </c>
      <c r="B28" s="263" t="s">
        <v>24</v>
      </c>
      <c r="C28" s="96" t="s">
        <v>38</v>
      </c>
      <c r="D28" s="96" t="s">
        <v>38</v>
      </c>
      <c r="E28" s="96" t="s">
        <v>38</v>
      </c>
      <c r="F28" s="96" t="s">
        <v>38</v>
      </c>
      <c r="G28" s="97" t="s">
        <v>38</v>
      </c>
      <c r="H28" s="97" t="s">
        <v>38</v>
      </c>
      <c r="I28" s="97" t="s">
        <v>38</v>
      </c>
      <c r="J28" s="97">
        <v>9</v>
      </c>
      <c r="K28" s="78">
        <f t="shared" si="17"/>
        <v>9</v>
      </c>
      <c r="L28" s="79">
        <v>0</v>
      </c>
      <c r="M28" s="218">
        <f t="shared" si="18"/>
        <v>9</v>
      </c>
      <c r="N28" s="81">
        <v>249.69444444444446</v>
      </c>
      <c r="O28" s="81">
        <v>0</v>
      </c>
      <c r="P28" s="82">
        <f t="shared" si="24"/>
        <v>249.69444444444446</v>
      </c>
      <c r="Q28" s="83">
        <f>P28/25</f>
        <v>9.9877777777777776</v>
      </c>
      <c r="R28" s="84">
        <f t="shared" si="19"/>
        <v>262.17916666666667</v>
      </c>
      <c r="S28" s="83">
        <f>R28/25</f>
        <v>10.487166666666667</v>
      </c>
      <c r="T28" s="85">
        <f>276+12</f>
        <v>288</v>
      </c>
      <c r="U28" s="85">
        <v>0</v>
      </c>
      <c r="V28" s="78">
        <f t="shared" si="20"/>
        <v>288</v>
      </c>
      <c r="W28" s="78">
        <f t="shared" si="12"/>
        <v>144</v>
      </c>
      <c r="X28" s="87">
        <f t="shared" si="21"/>
        <v>8.2285714285714278</v>
      </c>
      <c r="Y28" s="88">
        <f t="shared" si="15"/>
        <v>10.285714285714286</v>
      </c>
      <c r="Z28" s="89">
        <f t="shared" si="22"/>
        <v>0.98777777777777764</v>
      </c>
      <c r="AA28" s="89">
        <f t="shared" si="23"/>
        <v>-0.77142857142857224</v>
      </c>
      <c r="AB28" s="89">
        <f t="shared" si="13"/>
        <v>1.2857142857142865</v>
      </c>
      <c r="AC28" s="90">
        <v>5</v>
      </c>
      <c r="AD28" s="128" t="s">
        <v>38</v>
      </c>
      <c r="AE28" s="92" t="s">
        <v>38</v>
      </c>
      <c r="AF28" s="92" t="s">
        <v>38</v>
      </c>
      <c r="AG28" s="92" t="s">
        <v>38</v>
      </c>
      <c r="AH28" s="92" t="s">
        <v>38</v>
      </c>
      <c r="AI28" s="92" t="s">
        <v>38</v>
      </c>
      <c r="AJ28" s="93" t="s">
        <v>38</v>
      </c>
      <c r="AK28" s="93" t="s">
        <v>38</v>
      </c>
      <c r="AL28" s="93" t="s">
        <v>38</v>
      </c>
      <c r="AM28" s="93" t="s">
        <v>38</v>
      </c>
      <c r="AN28" s="93" t="s">
        <v>38</v>
      </c>
      <c r="AO28" s="94"/>
      <c r="AP28" s="95"/>
    </row>
    <row r="29" spans="1:42" s="7" customFormat="1" ht="21.95" customHeight="1" x14ac:dyDescent="0.2">
      <c r="A29" s="123" t="s">
        <v>63</v>
      </c>
      <c r="B29" s="263" t="s">
        <v>24</v>
      </c>
      <c r="C29" s="75" t="s">
        <v>38</v>
      </c>
      <c r="D29" s="75" t="s">
        <v>38</v>
      </c>
      <c r="E29" s="75">
        <v>1</v>
      </c>
      <c r="F29" s="75">
        <v>1</v>
      </c>
      <c r="G29" s="76" t="s">
        <v>38</v>
      </c>
      <c r="H29" s="76" t="s">
        <v>38</v>
      </c>
      <c r="I29" s="76" t="s">
        <v>38</v>
      </c>
      <c r="J29" s="77">
        <v>5</v>
      </c>
      <c r="K29" s="78">
        <f t="shared" si="17"/>
        <v>7</v>
      </c>
      <c r="L29" s="79">
        <v>0</v>
      </c>
      <c r="M29" s="218">
        <f t="shared" si="18"/>
        <v>7</v>
      </c>
      <c r="N29" s="81">
        <v>160.02777777777777</v>
      </c>
      <c r="O29" s="81">
        <v>0</v>
      </c>
      <c r="P29" s="82">
        <f t="shared" si="24"/>
        <v>160.02777777777777</v>
      </c>
      <c r="Q29" s="83">
        <f>P29/25</f>
        <v>6.4011111111111108</v>
      </c>
      <c r="R29" s="84">
        <f t="shared" si="19"/>
        <v>168.02916666666667</v>
      </c>
      <c r="S29" s="83">
        <f>R29/25</f>
        <v>6.721166666666667</v>
      </c>
      <c r="T29" s="85">
        <f>136+12</f>
        <v>148</v>
      </c>
      <c r="U29" s="85">
        <v>0</v>
      </c>
      <c r="V29" s="78">
        <f t="shared" si="20"/>
        <v>148</v>
      </c>
      <c r="W29" s="78">
        <f t="shared" si="12"/>
        <v>74</v>
      </c>
      <c r="X29" s="87">
        <f t="shared" si="21"/>
        <v>4.2285714285714286</v>
      </c>
      <c r="Y29" s="88">
        <f t="shared" si="15"/>
        <v>5.2857142857142856</v>
      </c>
      <c r="Z29" s="89">
        <f t="shared" si="22"/>
        <v>-0.59888888888888925</v>
      </c>
      <c r="AA29" s="89">
        <f t="shared" si="23"/>
        <v>-2.7714285714285714</v>
      </c>
      <c r="AB29" s="89">
        <f t="shared" si="13"/>
        <v>-1.7142857142857144</v>
      </c>
      <c r="AC29" s="90">
        <v>5</v>
      </c>
      <c r="AD29" s="128" t="s">
        <v>38</v>
      </c>
      <c r="AE29" s="92" t="s">
        <v>38</v>
      </c>
      <c r="AF29" s="92" t="s">
        <v>38</v>
      </c>
      <c r="AG29" s="92" t="s">
        <v>38</v>
      </c>
      <c r="AH29" s="92" t="s">
        <v>38</v>
      </c>
      <c r="AI29" s="92" t="s">
        <v>38</v>
      </c>
      <c r="AJ29" s="93" t="s">
        <v>38</v>
      </c>
      <c r="AK29" s="93" t="s">
        <v>38</v>
      </c>
      <c r="AL29" s="93" t="s">
        <v>38</v>
      </c>
      <c r="AM29" s="93" t="s">
        <v>38</v>
      </c>
      <c r="AN29" s="93" t="s">
        <v>38</v>
      </c>
      <c r="AO29" s="94"/>
      <c r="AP29" s="95"/>
    </row>
    <row r="30" spans="1:42" s="7" customFormat="1" ht="21.95" customHeight="1" x14ac:dyDescent="0.2">
      <c r="A30" s="342" t="s">
        <v>64</v>
      </c>
      <c r="B30" s="263" t="s">
        <v>19</v>
      </c>
      <c r="C30" s="75" t="s">
        <v>38</v>
      </c>
      <c r="D30" s="75" t="s">
        <v>38</v>
      </c>
      <c r="E30" s="75" t="s">
        <v>38</v>
      </c>
      <c r="F30" s="75" t="s">
        <v>38</v>
      </c>
      <c r="G30" s="76" t="s">
        <v>38</v>
      </c>
      <c r="H30" s="76" t="s">
        <v>38</v>
      </c>
      <c r="I30" s="76">
        <v>2</v>
      </c>
      <c r="J30" s="76">
        <v>1</v>
      </c>
      <c r="K30" s="130">
        <f t="shared" si="17"/>
        <v>3</v>
      </c>
      <c r="L30" s="131">
        <v>0</v>
      </c>
      <c r="M30" s="238">
        <f t="shared" si="18"/>
        <v>3</v>
      </c>
      <c r="N30" s="133">
        <v>0</v>
      </c>
      <c r="O30" s="81">
        <f>12.4583333333333*1.8</f>
        <v>22.42499999999994</v>
      </c>
      <c r="P30" s="82">
        <f t="shared" si="24"/>
        <v>22.42499999999994</v>
      </c>
      <c r="Q30" s="134">
        <f>P30/30</f>
        <v>0.74749999999999805</v>
      </c>
      <c r="R30" s="84">
        <f t="shared" si="19"/>
        <v>23.546249999999937</v>
      </c>
      <c r="S30" s="135">
        <f>R30/30</f>
        <v>0.78487499999999788</v>
      </c>
      <c r="T30" s="109">
        <v>0</v>
      </c>
      <c r="U30" s="136">
        <f>36+15</f>
        <v>51</v>
      </c>
      <c r="V30" s="78">
        <f>SUM(U30:U30)</f>
        <v>51</v>
      </c>
      <c r="W30" s="78">
        <f t="shared" si="12"/>
        <v>25.5</v>
      </c>
      <c r="X30" s="87">
        <f t="shared" si="21"/>
        <v>1.4571428571428571</v>
      </c>
      <c r="Y30" s="88">
        <f t="shared" si="15"/>
        <v>1.8214285714285714</v>
      </c>
      <c r="Z30" s="89">
        <f t="shared" si="22"/>
        <v>-2.2525000000000022</v>
      </c>
      <c r="AA30" s="89">
        <f t="shared" si="23"/>
        <v>-1.5428571428571429</v>
      </c>
      <c r="AB30" s="89">
        <f t="shared" si="13"/>
        <v>-1.1785714285714286</v>
      </c>
      <c r="AC30" s="90">
        <v>3</v>
      </c>
      <c r="AD30" s="128" t="s">
        <v>38</v>
      </c>
      <c r="AE30" s="92" t="s">
        <v>38</v>
      </c>
      <c r="AF30" s="92" t="s">
        <v>38</v>
      </c>
      <c r="AG30" s="92" t="s">
        <v>38</v>
      </c>
      <c r="AH30" s="92" t="s">
        <v>38</v>
      </c>
      <c r="AI30" s="92" t="s">
        <v>38</v>
      </c>
      <c r="AJ30" s="93" t="s">
        <v>38</v>
      </c>
      <c r="AK30" s="93" t="s">
        <v>38</v>
      </c>
      <c r="AL30" s="93" t="s">
        <v>38</v>
      </c>
      <c r="AM30" s="93" t="s">
        <v>38</v>
      </c>
      <c r="AN30" s="93" t="s">
        <v>38</v>
      </c>
      <c r="AO30" s="94"/>
      <c r="AP30" s="95"/>
    </row>
    <row r="31" spans="1:42" s="7" customFormat="1" ht="21.95" customHeight="1" x14ac:dyDescent="0.2">
      <c r="A31" s="342"/>
      <c r="B31" s="263" t="s">
        <v>21</v>
      </c>
      <c r="C31" s="75" t="s">
        <v>38</v>
      </c>
      <c r="D31" s="75" t="s">
        <v>38</v>
      </c>
      <c r="E31" s="75" t="s">
        <v>38</v>
      </c>
      <c r="F31" s="75">
        <v>1</v>
      </c>
      <c r="G31" s="76" t="s">
        <v>38</v>
      </c>
      <c r="H31" s="76" t="s">
        <v>38</v>
      </c>
      <c r="I31" s="76">
        <v>2</v>
      </c>
      <c r="J31" s="76">
        <v>2</v>
      </c>
      <c r="K31" s="130">
        <f t="shared" si="17"/>
        <v>5</v>
      </c>
      <c r="L31" s="131">
        <v>0</v>
      </c>
      <c r="M31" s="238">
        <f t="shared" si="18"/>
        <v>5</v>
      </c>
      <c r="N31" s="133">
        <v>248.97222222222223</v>
      </c>
      <c r="O31" s="98">
        <v>0</v>
      </c>
      <c r="P31" s="82">
        <f t="shared" si="24"/>
        <v>248.97222222222223</v>
      </c>
      <c r="Q31" s="134">
        <f>P31/30</f>
        <v>8.299074074074074</v>
      </c>
      <c r="R31" s="84">
        <f t="shared" si="19"/>
        <v>261.42083333333335</v>
      </c>
      <c r="S31" s="135">
        <f>R31/30</f>
        <v>8.7140277777777779</v>
      </c>
      <c r="T31" s="103">
        <v>269</v>
      </c>
      <c r="U31" s="136">
        <v>0</v>
      </c>
      <c r="V31" s="78">
        <f t="shared" ref="V31:V38" si="25">SUM(T31:U31)</f>
        <v>269</v>
      </c>
      <c r="W31" s="78">
        <f t="shared" si="12"/>
        <v>134.5</v>
      </c>
      <c r="X31" s="87">
        <f t="shared" si="21"/>
        <v>7.6857142857142859</v>
      </c>
      <c r="Y31" s="88">
        <f t="shared" si="15"/>
        <v>9.6071428571428577</v>
      </c>
      <c r="Z31" s="89">
        <f t="shared" si="22"/>
        <v>3.299074074074074</v>
      </c>
      <c r="AA31" s="89">
        <f t="shared" si="23"/>
        <v>2.6857142857142859</v>
      </c>
      <c r="AB31" s="89">
        <f t="shared" si="13"/>
        <v>4.6071428571428577</v>
      </c>
      <c r="AC31" s="90">
        <v>5</v>
      </c>
      <c r="AD31" s="128" t="s">
        <v>38</v>
      </c>
      <c r="AE31" s="92" t="s">
        <v>38</v>
      </c>
      <c r="AF31" s="92" t="s">
        <v>38</v>
      </c>
      <c r="AG31" s="92" t="s">
        <v>38</v>
      </c>
      <c r="AH31" s="92" t="s">
        <v>38</v>
      </c>
      <c r="AI31" s="92" t="s">
        <v>38</v>
      </c>
      <c r="AJ31" s="93" t="s">
        <v>38</v>
      </c>
      <c r="AK31" s="93" t="s">
        <v>38</v>
      </c>
      <c r="AL31" s="93" t="s">
        <v>38</v>
      </c>
      <c r="AM31" s="93" t="s">
        <v>38</v>
      </c>
      <c r="AN31" s="93" t="s">
        <v>38</v>
      </c>
      <c r="AO31" s="94" t="s">
        <v>134</v>
      </c>
      <c r="AP31" s="95"/>
    </row>
    <row r="32" spans="1:42" s="7" customFormat="1" ht="21.95" customHeight="1" x14ac:dyDescent="0.2">
      <c r="A32" s="342"/>
      <c r="B32" s="263" t="s">
        <v>262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 t="s">
        <v>38</v>
      </c>
      <c r="I32" s="76">
        <v>2</v>
      </c>
      <c r="J32" s="76">
        <v>4</v>
      </c>
      <c r="K32" s="130">
        <f t="shared" si="17"/>
        <v>6</v>
      </c>
      <c r="L32" s="131">
        <v>1</v>
      </c>
      <c r="M32" s="238">
        <f t="shared" si="18"/>
        <v>5</v>
      </c>
      <c r="N32" s="133">
        <v>244.5</v>
      </c>
      <c r="O32" s="98">
        <v>0</v>
      </c>
      <c r="P32" s="82">
        <f t="shared" si="24"/>
        <v>244.5</v>
      </c>
      <c r="Q32" s="134">
        <f>P32/25</f>
        <v>9.7799999999999994</v>
      </c>
      <c r="R32" s="84">
        <f t="shared" si="19"/>
        <v>256.72500000000002</v>
      </c>
      <c r="S32" s="135">
        <f>R32/25</f>
        <v>10.269</v>
      </c>
      <c r="T32" s="103">
        <f>205+263</f>
        <v>468</v>
      </c>
      <c r="U32" s="136">
        <v>0</v>
      </c>
      <c r="V32" s="78">
        <f t="shared" si="25"/>
        <v>468</v>
      </c>
      <c r="W32" s="78">
        <f t="shared" si="12"/>
        <v>234</v>
      </c>
      <c r="X32" s="87">
        <f t="shared" si="21"/>
        <v>13.371428571428572</v>
      </c>
      <c r="Y32" s="88">
        <f t="shared" si="15"/>
        <v>16.714285714285715</v>
      </c>
      <c r="Z32" s="89">
        <f t="shared" si="22"/>
        <v>4.7799999999999994</v>
      </c>
      <c r="AA32" s="89">
        <f t="shared" si="23"/>
        <v>8.3714285714285719</v>
      </c>
      <c r="AB32" s="89">
        <f t="shared" si="13"/>
        <v>11.714285714285715</v>
      </c>
      <c r="AC32" s="90">
        <v>5</v>
      </c>
      <c r="AD32" s="128" t="s">
        <v>38</v>
      </c>
      <c r="AE32" s="92" t="s">
        <v>38</v>
      </c>
      <c r="AF32" s="92" t="s">
        <v>38</v>
      </c>
      <c r="AG32" s="92" t="s">
        <v>38</v>
      </c>
      <c r="AH32" s="92" t="s">
        <v>38</v>
      </c>
      <c r="AI32" s="92" t="s">
        <v>38</v>
      </c>
      <c r="AJ32" s="93" t="s">
        <v>38</v>
      </c>
      <c r="AK32" s="93" t="s">
        <v>38</v>
      </c>
      <c r="AL32" s="93" t="s">
        <v>38</v>
      </c>
      <c r="AM32" s="93" t="s">
        <v>38</v>
      </c>
      <c r="AN32" s="93" t="s">
        <v>38</v>
      </c>
      <c r="AO32" s="94" t="s">
        <v>132</v>
      </c>
      <c r="AP32" s="95"/>
    </row>
    <row r="33" spans="1:42" s="7" customFormat="1" ht="21.95" customHeight="1" x14ac:dyDescent="0.2">
      <c r="A33" s="342"/>
      <c r="B33" s="263" t="s">
        <v>263</v>
      </c>
      <c r="C33" s="75" t="s">
        <v>38</v>
      </c>
      <c r="D33" s="75" t="s">
        <v>38</v>
      </c>
      <c r="E33" s="75" t="s">
        <v>38</v>
      </c>
      <c r="F33" s="75" t="s">
        <v>38</v>
      </c>
      <c r="G33" s="76" t="s">
        <v>38</v>
      </c>
      <c r="H33" s="76"/>
      <c r="I33" s="76">
        <v>2</v>
      </c>
      <c r="J33" s="76">
        <v>4</v>
      </c>
      <c r="K33" s="130">
        <f t="shared" si="17"/>
        <v>6</v>
      </c>
      <c r="L33" s="131">
        <v>0</v>
      </c>
      <c r="M33" s="238">
        <f t="shared" si="18"/>
        <v>6</v>
      </c>
      <c r="N33" s="81">
        <v>63.5</v>
      </c>
      <c r="O33" s="98">
        <v>0</v>
      </c>
      <c r="P33" s="82">
        <f t="shared" si="24"/>
        <v>63.5</v>
      </c>
      <c r="Q33" s="134">
        <f>P33/25</f>
        <v>2.54</v>
      </c>
      <c r="R33" s="84">
        <f t="shared" si="19"/>
        <v>66.674999999999997</v>
      </c>
      <c r="S33" s="135">
        <f>R33/25</f>
        <v>2.6669999999999998</v>
      </c>
      <c r="T33" s="137">
        <v>62</v>
      </c>
      <c r="U33" s="136">
        <v>0</v>
      </c>
      <c r="V33" s="78">
        <f t="shared" si="25"/>
        <v>62</v>
      </c>
      <c r="W33" s="78">
        <f t="shared" si="12"/>
        <v>31</v>
      </c>
      <c r="X33" s="87">
        <f t="shared" si="21"/>
        <v>1.7714285714285714</v>
      </c>
      <c r="Y33" s="88">
        <f t="shared" si="15"/>
        <v>2.2142857142857144</v>
      </c>
      <c r="Z33" s="89">
        <f t="shared" si="22"/>
        <v>-3.46</v>
      </c>
      <c r="AA33" s="89">
        <f t="shared" si="23"/>
        <v>-4.2285714285714286</v>
      </c>
      <c r="AB33" s="89">
        <f t="shared" si="13"/>
        <v>-3.7857142857142856</v>
      </c>
      <c r="AC33" s="90"/>
      <c r="AD33" s="128" t="s">
        <v>38</v>
      </c>
      <c r="AE33" s="92"/>
      <c r="AF33" s="92"/>
      <c r="AG33" s="92"/>
      <c r="AH33" s="92"/>
      <c r="AI33" s="92"/>
      <c r="AJ33" s="93"/>
      <c r="AK33" s="93"/>
      <c r="AL33" s="93"/>
      <c r="AM33" s="93"/>
      <c r="AN33" s="93"/>
      <c r="AO33" s="94"/>
      <c r="AP33" s="95"/>
    </row>
    <row r="34" spans="1:42" s="10" customFormat="1" ht="21.95" customHeight="1" x14ac:dyDescent="0.2">
      <c r="A34" s="138" t="s">
        <v>65</v>
      </c>
      <c r="B34" s="262" t="s">
        <v>38</v>
      </c>
      <c r="C34" s="96" t="s">
        <v>38</v>
      </c>
      <c r="D34" s="96" t="s">
        <v>38</v>
      </c>
      <c r="E34" s="96" t="s">
        <v>38</v>
      </c>
      <c r="F34" s="96" t="s">
        <v>38</v>
      </c>
      <c r="G34" s="97" t="s">
        <v>38</v>
      </c>
      <c r="H34" s="97" t="s">
        <v>38</v>
      </c>
      <c r="I34" s="97" t="s">
        <v>38</v>
      </c>
      <c r="J34" s="97">
        <v>2</v>
      </c>
      <c r="K34" s="78">
        <f t="shared" si="17"/>
        <v>2</v>
      </c>
      <c r="L34" s="79">
        <v>0</v>
      </c>
      <c r="M34" s="236">
        <f t="shared" si="18"/>
        <v>2</v>
      </c>
      <c r="N34" s="98">
        <v>0</v>
      </c>
      <c r="O34" s="98">
        <v>0</v>
      </c>
      <c r="P34" s="82">
        <f t="shared" si="24"/>
        <v>0</v>
      </c>
      <c r="Q34" s="83">
        <v>0</v>
      </c>
      <c r="R34" s="84">
        <f t="shared" si="19"/>
        <v>0</v>
      </c>
      <c r="S34" s="83">
        <v>0</v>
      </c>
      <c r="T34" s="85">
        <v>0</v>
      </c>
      <c r="U34" s="85">
        <v>0</v>
      </c>
      <c r="V34" s="78">
        <f t="shared" si="25"/>
        <v>0</v>
      </c>
      <c r="W34" s="78">
        <f t="shared" si="12"/>
        <v>0</v>
      </c>
      <c r="X34" s="87">
        <f t="shared" si="21"/>
        <v>0</v>
      </c>
      <c r="Y34" s="88">
        <f t="shared" si="15"/>
        <v>0</v>
      </c>
      <c r="Z34" s="100">
        <v>0</v>
      </c>
      <c r="AA34" s="100">
        <v>0</v>
      </c>
      <c r="AB34" s="100">
        <v>0</v>
      </c>
      <c r="AC34" s="90">
        <v>5</v>
      </c>
      <c r="AD34" s="128" t="s">
        <v>38</v>
      </c>
      <c r="AE34" s="101" t="s">
        <v>38</v>
      </c>
      <c r="AF34" s="101" t="s">
        <v>38</v>
      </c>
      <c r="AG34" s="101" t="s">
        <v>38</v>
      </c>
      <c r="AH34" s="101" t="s">
        <v>38</v>
      </c>
      <c r="AI34" s="101" t="s">
        <v>38</v>
      </c>
      <c r="AJ34" s="93" t="s">
        <v>38</v>
      </c>
      <c r="AK34" s="93" t="s">
        <v>38</v>
      </c>
      <c r="AL34" s="93" t="s">
        <v>38</v>
      </c>
      <c r="AM34" s="93" t="s">
        <v>38</v>
      </c>
      <c r="AN34" s="93" t="s">
        <v>38</v>
      </c>
      <c r="AO34" s="94"/>
      <c r="AP34" s="63"/>
    </row>
    <row r="35" spans="1:42" s="8" customFormat="1" ht="21.95" customHeight="1" x14ac:dyDescent="0.2">
      <c r="A35" s="343" t="s">
        <v>66</v>
      </c>
      <c r="B35" s="263" t="s">
        <v>21</v>
      </c>
      <c r="C35" s="75" t="s">
        <v>38</v>
      </c>
      <c r="D35" s="75" t="s">
        <v>38</v>
      </c>
      <c r="E35" s="75" t="s">
        <v>38</v>
      </c>
      <c r="F35" s="75" t="s">
        <v>38</v>
      </c>
      <c r="G35" s="76" t="s">
        <v>38</v>
      </c>
      <c r="H35" s="76" t="s">
        <v>38</v>
      </c>
      <c r="I35" s="76">
        <v>1</v>
      </c>
      <c r="J35" s="76">
        <v>5</v>
      </c>
      <c r="K35" s="108">
        <f t="shared" si="17"/>
        <v>6</v>
      </c>
      <c r="L35" s="79">
        <v>0</v>
      </c>
      <c r="M35" s="237">
        <f t="shared" si="18"/>
        <v>6</v>
      </c>
      <c r="N35" s="98">
        <v>0</v>
      </c>
      <c r="O35" s="98">
        <f>10.875*1.8</f>
        <v>19.574999999999999</v>
      </c>
      <c r="P35" s="82">
        <f t="shared" si="24"/>
        <v>19.574999999999999</v>
      </c>
      <c r="Q35" s="134">
        <f>P35/30</f>
        <v>0.65249999999999997</v>
      </c>
      <c r="R35" s="84">
        <f t="shared" si="19"/>
        <v>20.553750000000001</v>
      </c>
      <c r="S35" s="135">
        <f>R35/30</f>
        <v>0.68512499999999998</v>
      </c>
      <c r="T35" s="103">
        <v>213</v>
      </c>
      <c r="U35" s="136">
        <v>0</v>
      </c>
      <c r="V35" s="130">
        <f t="shared" si="25"/>
        <v>213</v>
      </c>
      <c r="W35" s="78">
        <f t="shared" si="12"/>
        <v>106.5</v>
      </c>
      <c r="X35" s="87">
        <f t="shared" si="21"/>
        <v>6.0857142857142854</v>
      </c>
      <c r="Y35" s="88">
        <f t="shared" si="15"/>
        <v>7.6071428571428568</v>
      </c>
      <c r="Z35" s="89">
        <f t="shared" ref="Z35:Z44" si="26">Q35-M35</f>
        <v>-5.3475000000000001</v>
      </c>
      <c r="AA35" s="141">
        <f t="shared" ref="AA35:AA44" si="27">X35-M35</f>
        <v>8.571428571428541E-2</v>
      </c>
      <c r="AB35" s="89">
        <f t="shared" ref="AB35:AB96" si="28">Y35-M35</f>
        <v>1.6071428571428568</v>
      </c>
      <c r="AC35" s="90">
        <v>5</v>
      </c>
      <c r="AD35" s="91">
        <f>P35/30</f>
        <v>0.65249999999999997</v>
      </c>
      <c r="AE35" s="101" t="s">
        <v>38</v>
      </c>
      <c r="AF35" s="101" t="s">
        <v>38</v>
      </c>
      <c r="AG35" s="101" t="s">
        <v>38</v>
      </c>
      <c r="AH35" s="101" t="s">
        <v>38</v>
      </c>
      <c r="AI35" s="101" t="s">
        <v>38</v>
      </c>
      <c r="AJ35" s="93" t="s">
        <v>38</v>
      </c>
      <c r="AK35" s="93" t="s">
        <v>38</v>
      </c>
      <c r="AL35" s="93" t="s">
        <v>38</v>
      </c>
      <c r="AM35" s="93" t="s">
        <v>38</v>
      </c>
      <c r="AN35" s="93" t="s">
        <v>38</v>
      </c>
      <c r="AO35" s="142"/>
      <c r="AP35" s="143"/>
    </row>
    <row r="36" spans="1:42" ht="21.95" customHeight="1" x14ac:dyDescent="0.2">
      <c r="A36" s="343"/>
      <c r="B36" s="263" t="s">
        <v>40</v>
      </c>
      <c r="C36" s="75" t="s">
        <v>38</v>
      </c>
      <c r="D36" s="75" t="s">
        <v>38</v>
      </c>
      <c r="E36" s="75">
        <v>2</v>
      </c>
      <c r="F36" s="75" t="s">
        <v>38</v>
      </c>
      <c r="G36" s="76" t="s">
        <v>38</v>
      </c>
      <c r="H36" s="76" t="s">
        <v>38</v>
      </c>
      <c r="I36" s="76"/>
      <c r="J36" s="76">
        <v>11</v>
      </c>
      <c r="K36" s="108">
        <f t="shared" si="17"/>
        <v>13</v>
      </c>
      <c r="L36" s="144">
        <v>1</v>
      </c>
      <c r="M36" s="237">
        <f t="shared" si="18"/>
        <v>12</v>
      </c>
      <c r="N36" s="133">
        <v>292.08333333333331</v>
      </c>
      <c r="O36" s="98">
        <v>0</v>
      </c>
      <c r="P36" s="82">
        <f t="shared" si="24"/>
        <v>292.08333333333331</v>
      </c>
      <c r="Q36" s="134">
        <f>P36/25</f>
        <v>11.683333333333332</v>
      </c>
      <c r="R36" s="84">
        <f t="shared" si="19"/>
        <v>306.6875</v>
      </c>
      <c r="S36" s="135">
        <f>R36/25</f>
        <v>12.2675</v>
      </c>
      <c r="T36" s="103">
        <f>118+602</f>
        <v>720</v>
      </c>
      <c r="U36" s="136">
        <v>0</v>
      </c>
      <c r="V36" s="130">
        <f t="shared" si="25"/>
        <v>720</v>
      </c>
      <c r="W36" s="78">
        <f t="shared" si="12"/>
        <v>360</v>
      </c>
      <c r="X36" s="87">
        <f t="shared" si="21"/>
        <v>20.571428571428573</v>
      </c>
      <c r="Y36" s="88">
        <f t="shared" si="15"/>
        <v>25.714285714285715</v>
      </c>
      <c r="Z36" s="89">
        <f t="shared" si="26"/>
        <v>-0.31666666666666821</v>
      </c>
      <c r="AA36" s="141">
        <f t="shared" si="27"/>
        <v>8.571428571428573</v>
      </c>
      <c r="AB36" s="89">
        <f t="shared" si="28"/>
        <v>13.714285714285715</v>
      </c>
      <c r="AC36" s="145">
        <v>5</v>
      </c>
      <c r="AD36" s="128" t="s">
        <v>38</v>
      </c>
      <c r="AE36" s="94" t="s">
        <v>38</v>
      </c>
      <c r="AF36" s="94">
        <v>1</v>
      </c>
      <c r="AG36" s="94">
        <v>1</v>
      </c>
      <c r="AH36" s="94" t="s">
        <v>38</v>
      </c>
      <c r="AI36" s="146">
        <v>3</v>
      </c>
      <c r="AJ36" s="147" t="s">
        <v>38</v>
      </c>
      <c r="AK36" s="147" t="s">
        <v>38</v>
      </c>
      <c r="AL36" s="147" t="s">
        <v>38</v>
      </c>
      <c r="AM36" s="147" t="s">
        <v>38</v>
      </c>
      <c r="AN36" s="147" t="s">
        <v>38</v>
      </c>
      <c r="AO36" s="94" t="s">
        <v>132</v>
      </c>
      <c r="AP36" s="63"/>
    </row>
    <row r="37" spans="1:42" ht="21.75" customHeight="1" x14ac:dyDescent="0.2">
      <c r="A37" s="343"/>
      <c r="B37" s="263" t="s">
        <v>41</v>
      </c>
      <c r="C37" s="75" t="s">
        <v>38</v>
      </c>
      <c r="D37" s="75" t="s">
        <v>38</v>
      </c>
      <c r="E37" s="75" t="s">
        <v>38</v>
      </c>
      <c r="F37" s="75" t="s">
        <v>38</v>
      </c>
      <c r="G37" s="76" t="s">
        <v>38</v>
      </c>
      <c r="H37" s="76" t="s">
        <v>38</v>
      </c>
      <c r="I37" s="76">
        <v>2</v>
      </c>
      <c r="J37" s="76">
        <v>8</v>
      </c>
      <c r="K37" s="108">
        <f t="shared" si="17"/>
        <v>10</v>
      </c>
      <c r="L37" s="144">
        <v>1</v>
      </c>
      <c r="M37" s="237">
        <f t="shared" si="18"/>
        <v>9</v>
      </c>
      <c r="N37" s="133">
        <v>255.36111111111111</v>
      </c>
      <c r="O37" s="98">
        <v>0</v>
      </c>
      <c r="P37" s="82">
        <f t="shared" si="24"/>
        <v>255.36111111111111</v>
      </c>
      <c r="Q37" s="134">
        <f>P37/25</f>
        <v>10.214444444444444</v>
      </c>
      <c r="R37" s="84">
        <f t="shared" si="19"/>
        <v>268.12916666666666</v>
      </c>
      <c r="S37" s="135">
        <f>R37/25</f>
        <v>10.725166666666667</v>
      </c>
      <c r="T37" s="103">
        <v>171</v>
      </c>
      <c r="U37" s="136">
        <v>0</v>
      </c>
      <c r="V37" s="130">
        <f t="shared" si="25"/>
        <v>171</v>
      </c>
      <c r="W37" s="78">
        <f t="shared" si="12"/>
        <v>85.5</v>
      </c>
      <c r="X37" s="87">
        <f t="shared" si="21"/>
        <v>4.8857142857142861</v>
      </c>
      <c r="Y37" s="88">
        <f t="shared" si="15"/>
        <v>6.1071428571428568</v>
      </c>
      <c r="Z37" s="89">
        <f t="shared" si="26"/>
        <v>1.2144444444444442</v>
      </c>
      <c r="AA37" s="141">
        <f t="shared" si="27"/>
        <v>-4.1142857142857139</v>
      </c>
      <c r="AB37" s="89">
        <f t="shared" si="28"/>
        <v>-2.8928571428571432</v>
      </c>
      <c r="AC37" s="145">
        <v>5</v>
      </c>
      <c r="AD37" s="128" t="s">
        <v>38</v>
      </c>
      <c r="AE37" s="94" t="s">
        <v>38</v>
      </c>
      <c r="AF37" s="94" t="s">
        <v>38</v>
      </c>
      <c r="AG37" s="94" t="s">
        <v>38</v>
      </c>
      <c r="AH37" s="94" t="s">
        <v>38</v>
      </c>
      <c r="AI37" s="94" t="s">
        <v>38</v>
      </c>
      <c r="AJ37" s="147" t="s">
        <v>38</v>
      </c>
      <c r="AK37" s="147" t="s">
        <v>38</v>
      </c>
      <c r="AL37" s="147" t="s">
        <v>38</v>
      </c>
      <c r="AM37" s="147" t="s">
        <v>38</v>
      </c>
      <c r="AN37" s="147" t="s">
        <v>38</v>
      </c>
      <c r="AO37" s="94" t="s">
        <v>134</v>
      </c>
      <c r="AP37" s="63"/>
    </row>
    <row r="38" spans="1:42" ht="21.75" customHeight="1" x14ac:dyDescent="0.2">
      <c r="A38" s="343"/>
      <c r="B38" s="263" t="s">
        <v>20</v>
      </c>
      <c r="C38" s="75" t="s">
        <v>38</v>
      </c>
      <c r="D38" s="75" t="s">
        <v>38</v>
      </c>
      <c r="E38" s="75">
        <v>2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108">
        <f t="shared" si="17"/>
        <v>3</v>
      </c>
      <c r="L38" s="144">
        <v>0</v>
      </c>
      <c r="M38" s="237">
        <f t="shared" si="18"/>
        <v>3</v>
      </c>
      <c r="N38" s="81">
        <v>10.875</v>
      </c>
      <c r="O38" s="98">
        <v>0</v>
      </c>
      <c r="P38" s="82">
        <f t="shared" si="24"/>
        <v>10.875</v>
      </c>
      <c r="Q38" s="134">
        <f>P38/30</f>
        <v>0.36249999999999999</v>
      </c>
      <c r="R38" s="84">
        <f t="shared" si="19"/>
        <v>11.418749999999999</v>
      </c>
      <c r="S38" s="135">
        <f>R38/30</f>
        <v>0.38062499999999999</v>
      </c>
      <c r="T38" s="103">
        <v>62</v>
      </c>
      <c r="U38" s="136">
        <v>0</v>
      </c>
      <c r="V38" s="130">
        <f t="shared" si="25"/>
        <v>62</v>
      </c>
      <c r="W38" s="78">
        <f t="shared" si="12"/>
        <v>31</v>
      </c>
      <c r="X38" s="87">
        <f t="shared" si="21"/>
        <v>1.7714285714285714</v>
      </c>
      <c r="Y38" s="88">
        <f t="shared" si="15"/>
        <v>2.2142857142857144</v>
      </c>
      <c r="Z38" s="89">
        <f t="shared" si="26"/>
        <v>-2.6375000000000002</v>
      </c>
      <c r="AA38" s="141">
        <f t="shared" si="27"/>
        <v>-1.2285714285714286</v>
      </c>
      <c r="AB38" s="89">
        <f t="shared" si="28"/>
        <v>-0.78571428571428559</v>
      </c>
      <c r="AC38" s="145">
        <v>3</v>
      </c>
      <c r="AD38" s="128" t="s">
        <v>38</v>
      </c>
      <c r="AE38" s="94" t="s">
        <v>38</v>
      </c>
      <c r="AF38" s="94" t="s">
        <v>38</v>
      </c>
      <c r="AG38" s="94" t="s">
        <v>38</v>
      </c>
      <c r="AH38" s="94" t="s">
        <v>38</v>
      </c>
      <c r="AI38" s="94" t="s">
        <v>38</v>
      </c>
      <c r="AJ38" s="147" t="s">
        <v>38</v>
      </c>
      <c r="AK38" s="147" t="s">
        <v>38</v>
      </c>
      <c r="AL38" s="147" t="s">
        <v>38</v>
      </c>
      <c r="AM38" s="147" t="s">
        <v>38</v>
      </c>
      <c r="AN38" s="147" t="s">
        <v>38</v>
      </c>
      <c r="AO38" s="146"/>
      <c r="AP38" s="63"/>
    </row>
    <row r="39" spans="1:42" ht="21.75" customHeight="1" x14ac:dyDescent="0.2">
      <c r="A39" s="343" t="s">
        <v>67</v>
      </c>
      <c r="B39" s="263" t="s">
        <v>110</v>
      </c>
      <c r="C39" s="75" t="s">
        <v>26</v>
      </c>
      <c r="D39" s="75">
        <v>1</v>
      </c>
      <c r="E39" s="75">
        <v>1</v>
      </c>
      <c r="F39" s="75" t="s">
        <v>38</v>
      </c>
      <c r="G39" s="76" t="s">
        <v>38</v>
      </c>
      <c r="H39" s="76" t="s">
        <v>38</v>
      </c>
      <c r="I39" s="76">
        <v>1</v>
      </c>
      <c r="J39" s="76" t="s">
        <v>38</v>
      </c>
      <c r="K39" s="130">
        <f t="shared" si="17"/>
        <v>3</v>
      </c>
      <c r="L39" s="131">
        <v>0</v>
      </c>
      <c r="M39" s="238">
        <f t="shared" si="18"/>
        <v>3</v>
      </c>
      <c r="N39" s="81">
        <v>0</v>
      </c>
      <c r="O39" s="81">
        <f>7.5*1.8</f>
        <v>13.5</v>
      </c>
      <c r="P39" s="82">
        <f t="shared" si="24"/>
        <v>13.5</v>
      </c>
      <c r="Q39" s="134">
        <f>P39/25</f>
        <v>0.54</v>
      </c>
      <c r="R39" s="84">
        <f t="shared" si="19"/>
        <v>14.175000000000001</v>
      </c>
      <c r="S39" s="135">
        <f>R39/25</f>
        <v>0.56700000000000006</v>
      </c>
      <c r="T39" s="96">
        <v>0</v>
      </c>
      <c r="U39" s="86">
        <v>52</v>
      </c>
      <c r="V39" s="136">
        <f>SUM(U39:U39)</f>
        <v>52</v>
      </c>
      <c r="W39" s="78">
        <f t="shared" si="12"/>
        <v>26</v>
      </c>
      <c r="X39" s="87">
        <f t="shared" si="21"/>
        <v>1.4857142857142858</v>
      </c>
      <c r="Y39" s="88">
        <f t="shared" si="15"/>
        <v>1.8571428571428572</v>
      </c>
      <c r="Z39" s="89">
        <f t="shared" si="26"/>
        <v>-2.46</v>
      </c>
      <c r="AA39" s="141">
        <f t="shared" si="27"/>
        <v>-1.5142857142857142</v>
      </c>
      <c r="AB39" s="89">
        <f t="shared" si="28"/>
        <v>-1.1428571428571428</v>
      </c>
      <c r="AC39" s="145">
        <v>3</v>
      </c>
      <c r="AD39" s="128" t="s">
        <v>38</v>
      </c>
      <c r="AE39" s="94" t="s">
        <v>38</v>
      </c>
      <c r="AF39" s="94" t="s">
        <v>38</v>
      </c>
      <c r="AG39" s="94" t="s">
        <v>38</v>
      </c>
      <c r="AH39" s="94" t="s">
        <v>38</v>
      </c>
      <c r="AI39" s="94" t="s">
        <v>38</v>
      </c>
      <c r="AJ39" s="147" t="s">
        <v>38</v>
      </c>
      <c r="AK39" s="147" t="s">
        <v>38</v>
      </c>
      <c r="AL39" s="147" t="s">
        <v>38</v>
      </c>
      <c r="AM39" s="147" t="s">
        <v>38</v>
      </c>
      <c r="AN39" s="147" t="s">
        <v>38</v>
      </c>
      <c r="AO39" s="146"/>
      <c r="AP39" s="63"/>
    </row>
    <row r="40" spans="1:42" ht="21.75" customHeight="1" x14ac:dyDescent="0.2">
      <c r="A40" s="343"/>
      <c r="B40" s="263" t="s">
        <v>111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 t="s">
        <v>38</v>
      </c>
      <c r="K40" s="130">
        <f t="shared" si="17"/>
        <v>3</v>
      </c>
      <c r="L40" s="131">
        <v>0</v>
      </c>
      <c r="M40" s="238">
        <f t="shared" si="18"/>
        <v>3</v>
      </c>
      <c r="N40" s="98">
        <v>0</v>
      </c>
      <c r="O40" s="81">
        <f>19.1666666666667*1.8</f>
        <v>34.500000000000064</v>
      </c>
      <c r="P40" s="82">
        <f t="shared" si="24"/>
        <v>34.500000000000064</v>
      </c>
      <c r="Q40" s="134">
        <f>P40/25</f>
        <v>1.3800000000000026</v>
      </c>
      <c r="R40" s="84">
        <f t="shared" si="19"/>
        <v>36.225000000000065</v>
      </c>
      <c r="S40" s="135">
        <f>R40/25</f>
        <v>1.4490000000000025</v>
      </c>
      <c r="T40" s="96">
        <v>0</v>
      </c>
      <c r="U40" s="86">
        <v>52</v>
      </c>
      <c r="V40" s="136">
        <f>SUM(U40:U40)</f>
        <v>52</v>
      </c>
      <c r="W40" s="78">
        <f t="shared" si="12"/>
        <v>26</v>
      </c>
      <c r="X40" s="87">
        <f t="shared" si="21"/>
        <v>1.4857142857142858</v>
      </c>
      <c r="Y40" s="88">
        <f t="shared" si="15"/>
        <v>1.8571428571428572</v>
      </c>
      <c r="Z40" s="89">
        <f t="shared" si="26"/>
        <v>-1.6199999999999974</v>
      </c>
      <c r="AA40" s="141">
        <f t="shared" si="27"/>
        <v>-1.5142857142857142</v>
      </c>
      <c r="AB40" s="89">
        <f t="shared" si="28"/>
        <v>-1.1428571428571428</v>
      </c>
      <c r="AC40" s="145">
        <v>3</v>
      </c>
      <c r="AD40" s="128" t="s">
        <v>38</v>
      </c>
      <c r="AE40" s="94" t="s">
        <v>38</v>
      </c>
      <c r="AF40" s="94" t="s">
        <v>38</v>
      </c>
      <c r="AG40" s="94" t="s">
        <v>38</v>
      </c>
      <c r="AH40" s="94" t="s">
        <v>38</v>
      </c>
      <c r="AI40" s="94" t="s">
        <v>38</v>
      </c>
      <c r="AJ40" s="147" t="s">
        <v>38</v>
      </c>
      <c r="AK40" s="147" t="s">
        <v>38</v>
      </c>
      <c r="AL40" s="147" t="s">
        <v>38</v>
      </c>
      <c r="AM40" s="147" t="s">
        <v>38</v>
      </c>
      <c r="AN40" s="147" t="s">
        <v>38</v>
      </c>
      <c r="AO40" s="146"/>
      <c r="AP40" s="63"/>
    </row>
    <row r="41" spans="1:42" ht="21.75" customHeight="1" x14ac:dyDescent="0.2">
      <c r="A41" s="343"/>
      <c r="B41" s="263" t="s">
        <v>25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2</v>
      </c>
      <c r="J41" s="76">
        <v>3</v>
      </c>
      <c r="K41" s="130">
        <f t="shared" si="17"/>
        <v>6</v>
      </c>
      <c r="L41" s="131">
        <v>0</v>
      </c>
      <c r="M41" s="238">
        <f t="shared" si="18"/>
        <v>6</v>
      </c>
      <c r="N41" s="133">
        <v>627.69444444444446</v>
      </c>
      <c r="O41" s="98">
        <v>0</v>
      </c>
      <c r="P41" s="82">
        <f t="shared" si="24"/>
        <v>627.69444444444446</v>
      </c>
      <c r="Q41" s="134">
        <f>P41/25</f>
        <v>25.107777777777777</v>
      </c>
      <c r="R41" s="84">
        <f t="shared" si="19"/>
        <v>659.07916666666665</v>
      </c>
      <c r="S41" s="135">
        <f>R41/25</f>
        <v>26.363166666666665</v>
      </c>
      <c r="T41" s="103">
        <v>317</v>
      </c>
      <c r="U41" s="136">
        <v>0</v>
      </c>
      <c r="V41" s="136">
        <f t="shared" ref="V41:V47" si="29">SUM(T41:U41)</f>
        <v>317</v>
      </c>
      <c r="W41" s="78">
        <f t="shared" si="12"/>
        <v>158.5</v>
      </c>
      <c r="X41" s="87">
        <f t="shared" si="21"/>
        <v>9.0571428571428569</v>
      </c>
      <c r="Y41" s="88">
        <f t="shared" si="15"/>
        <v>11.321428571428571</v>
      </c>
      <c r="Z41" s="89">
        <f t="shared" si="26"/>
        <v>19.107777777777777</v>
      </c>
      <c r="AA41" s="141">
        <f t="shared" si="27"/>
        <v>3.0571428571428569</v>
      </c>
      <c r="AB41" s="89">
        <f t="shared" si="28"/>
        <v>5.3214285714285712</v>
      </c>
      <c r="AC41" s="145">
        <v>5</v>
      </c>
      <c r="AD41" s="128" t="s">
        <v>38</v>
      </c>
      <c r="AE41" s="94">
        <v>2</v>
      </c>
      <c r="AF41" s="94" t="s">
        <v>38</v>
      </c>
      <c r="AG41" s="94" t="s">
        <v>38</v>
      </c>
      <c r="AH41" s="94" t="s">
        <v>38</v>
      </c>
      <c r="AI41" s="94" t="s">
        <v>38</v>
      </c>
      <c r="AJ41" s="147" t="s">
        <v>38</v>
      </c>
      <c r="AK41" s="147">
        <v>2</v>
      </c>
      <c r="AL41" s="147" t="s">
        <v>38</v>
      </c>
      <c r="AM41" s="147" t="s">
        <v>38</v>
      </c>
      <c r="AN41" s="147" t="s">
        <v>38</v>
      </c>
      <c r="AO41" s="146" t="s">
        <v>135</v>
      </c>
      <c r="AP41" s="63"/>
    </row>
    <row r="42" spans="1:42" ht="21.75" customHeight="1" x14ac:dyDescent="0.2">
      <c r="A42" s="127" t="s">
        <v>68</v>
      </c>
      <c r="B42" s="263" t="s">
        <v>21</v>
      </c>
      <c r="C42" s="75" t="s">
        <v>38</v>
      </c>
      <c r="D42" s="75" t="s">
        <v>38</v>
      </c>
      <c r="E42" s="75">
        <v>1</v>
      </c>
      <c r="F42" s="75" t="s">
        <v>38</v>
      </c>
      <c r="G42" s="76" t="s">
        <v>38</v>
      </c>
      <c r="H42" s="76" t="s">
        <v>38</v>
      </c>
      <c r="I42" s="76">
        <v>3</v>
      </c>
      <c r="J42" s="77">
        <v>4</v>
      </c>
      <c r="K42" s="130">
        <f t="shared" si="17"/>
        <v>8</v>
      </c>
      <c r="L42" s="131">
        <v>0</v>
      </c>
      <c r="M42" s="238">
        <f t="shared" si="18"/>
        <v>8</v>
      </c>
      <c r="N42" s="81">
        <v>153.77777777777777</v>
      </c>
      <c r="O42" s="81">
        <v>0</v>
      </c>
      <c r="P42" s="82">
        <f t="shared" si="24"/>
        <v>153.77777777777777</v>
      </c>
      <c r="Q42" s="83">
        <f>P42/30</f>
        <v>5.1259259259259258</v>
      </c>
      <c r="R42" s="84">
        <f t="shared" si="19"/>
        <v>161.46666666666667</v>
      </c>
      <c r="S42" s="83">
        <f>R42/30</f>
        <v>5.3822222222222225</v>
      </c>
      <c r="T42" s="103">
        <f>220+389</f>
        <v>609</v>
      </c>
      <c r="U42" s="85">
        <v>0</v>
      </c>
      <c r="V42" s="136">
        <f t="shared" si="29"/>
        <v>609</v>
      </c>
      <c r="W42" s="78">
        <f t="shared" si="12"/>
        <v>304.5</v>
      </c>
      <c r="X42" s="87">
        <f t="shared" si="21"/>
        <v>17.399999999999999</v>
      </c>
      <c r="Y42" s="88">
        <f t="shared" si="15"/>
        <v>21.75</v>
      </c>
      <c r="Z42" s="89">
        <f t="shared" si="26"/>
        <v>-2.8740740740740742</v>
      </c>
      <c r="AA42" s="141">
        <f t="shared" si="27"/>
        <v>9.3999999999999986</v>
      </c>
      <c r="AB42" s="89">
        <f t="shared" si="28"/>
        <v>13.75</v>
      </c>
      <c r="AC42" s="145">
        <v>5</v>
      </c>
      <c r="AD42" s="91">
        <f>P42/30</f>
        <v>5.1259259259259258</v>
      </c>
      <c r="AE42" s="94">
        <v>1</v>
      </c>
      <c r="AF42" s="94" t="s">
        <v>38</v>
      </c>
      <c r="AG42" s="94" t="s">
        <v>38</v>
      </c>
      <c r="AH42" s="94" t="s">
        <v>38</v>
      </c>
      <c r="AI42" s="94" t="s">
        <v>38</v>
      </c>
      <c r="AJ42" s="147" t="s">
        <v>38</v>
      </c>
      <c r="AK42" s="147" t="s">
        <v>38</v>
      </c>
      <c r="AL42" s="147" t="s">
        <v>38</v>
      </c>
      <c r="AM42" s="147" t="s">
        <v>38</v>
      </c>
      <c r="AN42" s="147" t="s">
        <v>38</v>
      </c>
      <c r="AO42" s="94" t="s">
        <v>132</v>
      </c>
      <c r="AP42" s="63"/>
    </row>
    <row r="43" spans="1:42" ht="21.75" customHeight="1" x14ac:dyDescent="0.2">
      <c r="A43" s="127" t="s">
        <v>69</v>
      </c>
      <c r="B43" s="263" t="s">
        <v>22</v>
      </c>
      <c r="C43" s="75" t="s">
        <v>38</v>
      </c>
      <c r="D43" s="75" t="s">
        <v>38</v>
      </c>
      <c r="E43" s="75" t="s">
        <v>38</v>
      </c>
      <c r="F43" s="75">
        <v>1</v>
      </c>
      <c r="G43" s="76" t="s">
        <v>38</v>
      </c>
      <c r="H43" s="76" t="s">
        <v>38</v>
      </c>
      <c r="I43" s="76">
        <v>2</v>
      </c>
      <c r="J43" s="77">
        <v>2</v>
      </c>
      <c r="K43" s="78">
        <f t="shared" si="17"/>
        <v>5</v>
      </c>
      <c r="L43" s="79">
        <v>0</v>
      </c>
      <c r="M43" s="218">
        <f t="shared" si="18"/>
        <v>5</v>
      </c>
      <c r="N43" s="81">
        <v>75.611111111111114</v>
      </c>
      <c r="O43" s="81">
        <v>0</v>
      </c>
      <c r="P43" s="82">
        <f t="shared" si="24"/>
        <v>75.611111111111114</v>
      </c>
      <c r="Q43" s="83">
        <f>P43/8</f>
        <v>9.4513888888888893</v>
      </c>
      <c r="R43" s="84">
        <f t="shared" si="19"/>
        <v>79.391666666666666</v>
      </c>
      <c r="S43" s="83">
        <f>R43/8</f>
        <v>9.9239583333333332</v>
      </c>
      <c r="T43" s="103">
        <v>211</v>
      </c>
      <c r="U43" s="85">
        <v>0</v>
      </c>
      <c r="V43" s="136">
        <f t="shared" si="29"/>
        <v>211</v>
      </c>
      <c r="W43" s="78">
        <f t="shared" si="12"/>
        <v>105.5</v>
      </c>
      <c r="X43" s="87">
        <f t="shared" si="21"/>
        <v>6.0285714285714285</v>
      </c>
      <c r="Y43" s="88">
        <f t="shared" si="15"/>
        <v>7.5357142857142856</v>
      </c>
      <c r="Z43" s="89">
        <f t="shared" si="26"/>
        <v>4.4513888888888893</v>
      </c>
      <c r="AA43" s="141">
        <f t="shared" si="27"/>
        <v>1.0285714285714285</v>
      </c>
      <c r="AB43" s="89">
        <f t="shared" si="28"/>
        <v>2.5357142857142856</v>
      </c>
      <c r="AC43" s="145">
        <v>5</v>
      </c>
      <c r="AD43" s="128" t="s">
        <v>38</v>
      </c>
      <c r="AE43" s="94" t="s">
        <v>38</v>
      </c>
      <c r="AF43" s="94" t="s">
        <v>38</v>
      </c>
      <c r="AG43" s="94" t="s">
        <v>38</v>
      </c>
      <c r="AH43" s="94" t="s">
        <v>38</v>
      </c>
      <c r="AI43" s="94" t="s">
        <v>38</v>
      </c>
      <c r="AJ43" s="147" t="s">
        <v>38</v>
      </c>
      <c r="AK43" s="147" t="s">
        <v>38</v>
      </c>
      <c r="AL43" s="147" t="s">
        <v>38</v>
      </c>
      <c r="AM43" s="147" t="s">
        <v>38</v>
      </c>
      <c r="AN43" s="147" t="s">
        <v>38</v>
      </c>
      <c r="AO43" s="146" t="s">
        <v>136</v>
      </c>
      <c r="AP43" s="63"/>
    </row>
    <row r="44" spans="1:42" ht="21.75" customHeight="1" x14ac:dyDescent="0.2">
      <c r="A44" s="127" t="s">
        <v>70</v>
      </c>
      <c r="B44" s="263" t="s">
        <v>24</v>
      </c>
      <c r="C44" s="75" t="s">
        <v>38</v>
      </c>
      <c r="D44" s="75" t="s">
        <v>38</v>
      </c>
      <c r="E44" s="75">
        <v>0</v>
      </c>
      <c r="F44" s="75" t="s">
        <v>38</v>
      </c>
      <c r="G44" s="76" t="s">
        <v>38</v>
      </c>
      <c r="H44" s="76" t="s">
        <v>38</v>
      </c>
      <c r="I44" s="76">
        <v>1</v>
      </c>
      <c r="J44" s="77">
        <v>3</v>
      </c>
      <c r="K44" s="78">
        <f t="shared" si="17"/>
        <v>4</v>
      </c>
      <c r="L44" s="79">
        <v>0</v>
      </c>
      <c r="M44" s="218">
        <f t="shared" si="18"/>
        <v>4</v>
      </c>
      <c r="N44" s="81">
        <v>125.66666666666666</v>
      </c>
      <c r="O44" s="81">
        <v>0</v>
      </c>
      <c r="P44" s="82">
        <f t="shared" si="24"/>
        <v>125.66666666666666</v>
      </c>
      <c r="Q44" s="83">
        <f>P44/25</f>
        <v>5.0266666666666664</v>
      </c>
      <c r="R44" s="84">
        <f t="shared" si="19"/>
        <v>131.94999999999999</v>
      </c>
      <c r="S44" s="83">
        <f>R44/25</f>
        <v>5.2779999999999996</v>
      </c>
      <c r="T44" s="103">
        <v>108</v>
      </c>
      <c r="U44" s="85">
        <v>0</v>
      </c>
      <c r="V44" s="136">
        <f t="shared" si="29"/>
        <v>108</v>
      </c>
      <c r="W44" s="78">
        <f t="shared" si="12"/>
        <v>54</v>
      </c>
      <c r="X44" s="87">
        <f t="shared" si="21"/>
        <v>3.0857142857142859</v>
      </c>
      <c r="Y44" s="88">
        <f t="shared" si="15"/>
        <v>3.8571428571428572</v>
      </c>
      <c r="Z44" s="89">
        <f t="shared" si="26"/>
        <v>1.0266666666666664</v>
      </c>
      <c r="AA44" s="141">
        <f t="shared" si="27"/>
        <v>-0.91428571428571415</v>
      </c>
      <c r="AB44" s="89">
        <f t="shared" si="28"/>
        <v>-0.14285714285714279</v>
      </c>
      <c r="AC44" s="145">
        <v>5</v>
      </c>
      <c r="AD44" s="128" t="s">
        <v>38</v>
      </c>
      <c r="AE44" s="94" t="s">
        <v>38</v>
      </c>
      <c r="AF44" s="94">
        <v>1</v>
      </c>
      <c r="AG44" s="94" t="s">
        <v>38</v>
      </c>
      <c r="AH44" s="94" t="s">
        <v>38</v>
      </c>
      <c r="AI44" s="94" t="s">
        <v>38</v>
      </c>
      <c r="AJ44" s="147" t="s">
        <v>38</v>
      </c>
      <c r="AK44" s="147" t="s">
        <v>38</v>
      </c>
      <c r="AL44" s="147" t="s">
        <v>38</v>
      </c>
      <c r="AM44" s="147" t="s">
        <v>38</v>
      </c>
      <c r="AN44" s="147" t="s">
        <v>38</v>
      </c>
      <c r="AO44" s="146"/>
      <c r="AP44" s="63"/>
    </row>
    <row r="45" spans="1:42" ht="21.75" customHeight="1" x14ac:dyDescent="0.2">
      <c r="A45" s="127" t="s">
        <v>199</v>
      </c>
      <c r="B45" s="263" t="s">
        <v>198</v>
      </c>
      <c r="C45" s="75" t="s">
        <v>38</v>
      </c>
      <c r="D45" s="75" t="s">
        <v>38</v>
      </c>
      <c r="E45" s="75" t="s">
        <v>38</v>
      </c>
      <c r="F45" s="75">
        <v>1</v>
      </c>
      <c r="G45" s="76" t="s">
        <v>38</v>
      </c>
      <c r="H45" s="76" t="s">
        <v>38</v>
      </c>
      <c r="I45" s="76">
        <v>1</v>
      </c>
      <c r="J45" s="76">
        <v>2</v>
      </c>
      <c r="K45" s="130">
        <f>SUM(D45:J45)</f>
        <v>4</v>
      </c>
      <c r="L45" s="131">
        <v>0</v>
      </c>
      <c r="M45" s="238">
        <f>K45-L45</f>
        <v>4</v>
      </c>
      <c r="N45" s="133">
        <v>93.944444444444443</v>
      </c>
      <c r="O45" s="98">
        <v>0</v>
      </c>
      <c r="P45" s="82">
        <f>SUM(N45:O45)</f>
        <v>93.944444444444443</v>
      </c>
      <c r="Q45" s="134">
        <f>P45/25</f>
        <v>3.7577777777777777</v>
      </c>
      <c r="R45" s="84">
        <f>(P45*0.05)+P45</f>
        <v>98.641666666666666</v>
      </c>
      <c r="S45" s="135">
        <f>R45/25</f>
        <v>3.9456666666666664</v>
      </c>
      <c r="T45" s="136">
        <f>75+24</f>
        <v>99</v>
      </c>
      <c r="U45" s="136">
        <v>0</v>
      </c>
      <c r="V45" s="136">
        <f>SUM(T45:U45)</f>
        <v>99</v>
      </c>
      <c r="W45" s="78">
        <f>V45/2</f>
        <v>49.5</v>
      </c>
      <c r="X45" s="87">
        <f>V45/35</f>
        <v>2.8285714285714287</v>
      </c>
      <c r="Y45" s="88">
        <f>W45/14</f>
        <v>3.5357142857142856</v>
      </c>
      <c r="Z45" s="89">
        <f>Q45-M45</f>
        <v>-0.24222222222222234</v>
      </c>
      <c r="AA45" s="141">
        <f>X45-M45</f>
        <v>-1.1714285714285713</v>
      </c>
      <c r="AB45" s="89">
        <f>Y45-M45</f>
        <v>-0.46428571428571441</v>
      </c>
      <c r="AC45" s="145">
        <v>5</v>
      </c>
      <c r="AD45" s="128" t="s">
        <v>38</v>
      </c>
      <c r="AE45" s="94" t="s">
        <v>38</v>
      </c>
      <c r="AF45" s="94" t="s">
        <v>38</v>
      </c>
      <c r="AG45" s="94" t="s">
        <v>38</v>
      </c>
      <c r="AH45" s="94" t="s">
        <v>38</v>
      </c>
      <c r="AI45" s="94" t="s">
        <v>38</v>
      </c>
      <c r="AJ45" s="147" t="s">
        <v>38</v>
      </c>
      <c r="AK45" s="147" t="s">
        <v>38</v>
      </c>
      <c r="AL45" s="147" t="s">
        <v>38</v>
      </c>
      <c r="AM45" s="147" t="s">
        <v>38</v>
      </c>
      <c r="AN45" s="147" t="s">
        <v>38</v>
      </c>
      <c r="AO45" s="146"/>
      <c r="AP45" s="63"/>
    </row>
    <row r="46" spans="1:42" s="18" customFormat="1" ht="21.75" customHeight="1" x14ac:dyDescent="0.2">
      <c r="A46" s="148" t="s">
        <v>71</v>
      </c>
      <c r="B46" s="265"/>
      <c r="C46" s="149">
        <f t="shared" ref="C46:Q46" si="30">SUM(C47:C72)</f>
        <v>0</v>
      </c>
      <c r="D46" s="149">
        <f t="shared" si="30"/>
        <v>4</v>
      </c>
      <c r="E46" s="149">
        <f t="shared" si="30"/>
        <v>23</v>
      </c>
      <c r="F46" s="149">
        <f t="shared" si="30"/>
        <v>13</v>
      </c>
      <c r="G46" s="149">
        <f t="shared" si="30"/>
        <v>0</v>
      </c>
      <c r="H46" s="149">
        <f t="shared" si="30"/>
        <v>2</v>
      </c>
      <c r="I46" s="149">
        <f t="shared" si="30"/>
        <v>43</v>
      </c>
      <c r="J46" s="149">
        <f t="shared" si="30"/>
        <v>64</v>
      </c>
      <c r="K46" s="150">
        <f t="shared" si="30"/>
        <v>149</v>
      </c>
      <c r="L46" s="150">
        <f t="shared" si="30"/>
        <v>6</v>
      </c>
      <c r="M46" s="150">
        <f t="shared" si="30"/>
        <v>143</v>
      </c>
      <c r="N46" s="251">
        <f t="shared" si="30"/>
        <v>2282.0855555555554</v>
      </c>
      <c r="O46" s="251">
        <f t="shared" si="30"/>
        <v>45.624999999999993</v>
      </c>
      <c r="P46" s="251">
        <f t="shared" si="30"/>
        <v>2327.7105555555554</v>
      </c>
      <c r="Q46" s="66">
        <f t="shared" si="30"/>
        <v>100.50313888888893</v>
      </c>
      <c r="R46" s="152">
        <f t="shared" si="19"/>
        <v>2444.0960833333334</v>
      </c>
      <c r="S46" s="66">
        <f>SUM(S47:S72)</f>
        <v>107.99334583333335</v>
      </c>
      <c r="T46" s="251">
        <f>SUM(T47:T72)</f>
        <v>3793</v>
      </c>
      <c r="U46" s="254">
        <v>0</v>
      </c>
      <c r="V46" s="253">
        <f t="shared" si="29"/>
        <v>3793</v>
      </c>
      <c r="W46" s="251">
        <f t="shared" si="12"/>
        <v>1896.5</v>
      </c>
      <c r="X46" s="155">
        <f t="shared" si="21"/>
        <v>108.37142857142857</v>
      </c>
      <c r="Y46" s="155">
        <f t="shared" si="15"/>
        <v>135.46428571428572</v>
      </c>
      <c r="Z46" s="69">
        <f>SUM(Z47:Z72)</f>
        <v>-37.496861111111109</v>
      </c>
      <c r="AA46" s="69">
        <f>SUM(AA47:AA72)</f>
        <v>-24.857142857142858</v>
      </c>
      <c r="AB46" s="69">
        <f t="shared" si="28"/>
        <v>-7.5357142857142776</v>
      </c>
      <c r="AC46" s="66">
        <f>SUM(AC47:AC72)</f>
        <v>120</v>
      </c>
      <c r="AD46" s="65">
        <v>0</v>
      </c>
      <c r="AE46" s="150">
        <f t="shared" ref="AE46:AN46" si="31">SUM(AE47:AE72)</f>
        <v>1</v>
      </c>
      <c r="AF46" s="150">
        <f t="shared" si="31"/>
        <v>3</v>
      </c>
      <c r="AG46" s="150">
        <f t="shared" si="31"/>
        <v>2</v>
      </c>
      <c r="AH46" s="150">
        <f t="shared" si="31"/>
        <v>5</v>
      </c>
      <c r="AI46" s="150">
        <f t="shared" si="31"/>
        <v>0</v>
      </c>
      <c r="AJ46" s="65">
        <f t="shared" si="31"/>
        <v>0</v>
      </c>
      <c r="AK46" s="65">
        <f t="shared" si="31"/>
        <v>0</v>
      </c>
      <c r="AL46" s="65">
        <f t="shared" si="31"/>
        <v>0</v>
      </c>
      <c r="AM46" s="65">
        <f t="shared" si="31"/>
        <v>0</v>
      </c>
      <c r="AN46" s="65">
        <f t="shared" si="31"/>
        <v>0</v>
      </c>
      <c r="AO46" s="156"/>
      <c r="AP46" s="72"/>
    </row>
    <row r="47" spans="1:42" ht="21.75" customHeight="1" x14ac:dyDescent="0.2">
      <c r="A47" s="315" t="s">
        <v>72</v>
      </c>
      <c r="B47" s="263" t="s">
        <v>27</v>
      </c>
      <c r="C47" s="158" t="s">
        <v>38</v>
      </c>
      <c r="D47" s="158" t="s">
        <v>38</v>
      </c>
      <c r="E47" s="158">
        <v>1</v>
      </c>
      <c r="F47" s="158">
        <v>2</v>
      </c>
      <c r="G47" s="76" t="s">
        <v>38</v>
      </c>
      <c r="H47" s="76" t="s">
        <v>38</v>
      </c>
      <c r="I47" s="76">
        <v>1</v>
      </c>
      <c r="J47" s="77">
        <v>4</v>
      </c>
      <c r="K47" s="299">
        <f t="shared" ref="K47:K60" si="32">SUM(D47:J47)</f>
        <v>8</v>
      </c>
      <c r="L47" s="79">
        <v>0</v>
      </c>
      <c r="M47" s="124">
        <f t="shared" ref="M47:M72" si="33">K47-L47</f>
        <v>8</v>
      </c>
      <c r="N47" s="81">
        <v>102.13888888888889</v>
      </c>
      <c r="O47" s="81">
        <v>0</v>
      </c>
      <c r="P47" s="82">
        <f>SUM(N47:O47)</f>
        <v>102.13888888888889</v>
      </c>
      <c r="Q47" s="83">
        <f>P47/20</f>
        <v>5.1069444444444443</v>
      </c>
      <c r="R47" s="84">
        <f t="shared" si="19"/>
        <v>107.24583333333334</v>
      </c>
      <c r="S47" s="83">
        <f>R47/20</f>
        <v>5.3622916666666667</v>
      </c>
      <c r="T47" s="103">
        <v>203</v>
      </c>
      <c r="U47" s="85">
        <v>0</v>
      </c>
      <c r="V47" s="136">
        <f t="shared" si="29"/>
        <v>203</v>
      </c>
      <c r="W47" s="78">
        <f t="shared" si="12"/>
        <v>101.5</v>
      </c>
      <c r="X47" s="87">
        <f t="shared" si="21"/>
        <v>5.8</v>
      </c>
      <c r="Y47" s="88">
        <f t="shared" si="15"/>
        <v>7.25</v>
      </c>
      <c r="Z47" s="89">
        <f t="shared" ref="Z47:Z72" si="34">Q47-M47</f>
        <v>-2.8930555555555557</v>
      </c>
      <c r="AA47" s="89">
        <f t="shared" ref="AA47:AA72" si="35">X47-M47</f>
        <v>-2.2000000000000002</v>
      </c>
      <c r="AB47" s="89">
        <f t="shared" si="28"/>
        <v>-0.75</v>
      </c>
      <c r="AC47" s="159">
        <v>5</v>
      </c>
      <c r="AD47" s="160" t="s">
        <v>38</v>
      </c>
      <c r="AE47" s="94" t="s">
        <v>38</v>
      </c>
      <c r="AF47" s="94">
        <v>1</v>
      </c>
      <c r="AG47" s="94" t="s">
        <v>38</v>
      </c>
      <c r="AH47" s="146">
        <v>1</v>
      </c>
      <c r="AI47" s="94" t="s">
        <v>38</v>
      </c>
      <c r="AJ47" s="147" t="s">
        <v>38</v>
      </c>
      <c r="AK47" s="147" t="s">
        <v>38</v>
      </c>
      <c r="AL47" s="147" t="s">
        <v>38</v>
      </c>
      <c r="AM47" s="147" t="s">
        <v>38</v>
      </c>
      <c r="AN47" s="147" t="s">
        <v>38</v>
      </c>
      <c r="AO47" s="146" t="s">
        <v>137</v>
      </c>
      <c r="AP47" s="63"/>
    </row>
    <row r="48" spans="1:42" ht="21.75" customHeight="1" x14ac:dyDescent="0.2">
      <c r="A48" s="342" t="s">
        <v>73</v>
      </c>
      <c r="B48" s="263" t="s">
        <v>112</v>
      </c>
      <c r="C48" s="158" t="s">
        <v>38</v>
      </c>
      <c r="D48" s="158" t="s">
        <v>38</v>
      </c>
      <c r="E48" s="158">
        <v>1</v>
      </c>
      <c r="F48" s="158" t="s">
        <v>38</v>
      </c>
      <c r="G48" s="76" t="s">
        <v>38</v>
      </c>
      <c r="H48" s="76" t="s">
        <v>38</v>
      </c>
      <c r="I48" s="76">
        <v>2</v>
      </c>
      <c r="J48" s="77" t="s">
        <v>38</v>
      </c>
      <c r="K48" s="299">
        <f t="shared" si="32"/>
        <v>3</v>
      </c>
      <c r="L48" s="79">
        <v>0</v>
      </c>
      <c r="M48" s="124">
        <f t="shared" si="33"/>
        <v>3</v>
      </c>
      <c r="N48" s="161">
        <v>0</v>
      </c>
      <c r="O48" s="98">
        <f>9.20833333333333*2</f>
        <v>18.416666666666661</v>
      </c>
      <c r="P48" s="82">
        <f>SUM(O48:O48)</f>
        <v>18.416666666666661</v>
      </c>
      <c r="Q48" s="83">
        <f>P48/30</f>
        <v>0.61388888888888871</v>
      </c>
      <c r="R48" s="84">
        <f t="shared" si="19"/>
        <v>19.337499999999995</v>
      </c>
      <c r="S48" s="83">
        <f>R48/30</f>
        <v>0.64458333333333317</v>
      </c>
      <c r="T48" s="96">
        <v>0</v>
      </c>
      <c r="U48" s="86">
        <v>27</v>
      </c>
      <c r="V48" s="136">
        <f>SUM(U48:U48)</f>
        <v>27</v>
      </c>
      <c r="W48" s="78">
        <f t="shared" si="12"/>
        <v>13.5</v>
      </c>
      <c r="X48" s="87">
        <f t="shared" si="21"/>
        <v>0.77142857142857146</v>
      </c>
      <c r="Y48" s="88">
        <f t="shared" si="15"/>
        <v>0.9642857142857143</v>
      </c>
      <c r="Z48" s="89">
        <f t="shared" si="34"/>
        <v>-2.3861111111111111</v>
      </c>
      <c r="AA48" s="89">
        <f t="shared" si="35"/>
        <v>-2.2285714285714286</v>
      </c>
      <c r="AB48" s="89">
        <f t="shared" si="28"/>
        <v>-2.0357142857142856</v>
      </c>
      <c r="AC48" s="159">
        <v>3</v>
      </c>
      <c r="AD48" s="160" t="s">
        <v>38</v>
      </c>
      <c r="AE48" s="94" t="s">
        <v>38</v>
      </c>
      <c r="AF48" s="94" t="s">
        <v>38</v>
      </c>
      <c r="AG48" s="94" t="s">
        <v>38</v>
      </c>
      <c r="AH48" s="94" t="s">
        <v>38</v>
      </c>
      <c r="AI48" s="94" t="s">
        <v>38</v>
      </c>
      <c r="AJ48" s="147" t="s">
        <v>38</v>
      </c>
      <c r="AK48" s="147" t="s">
        <v>38</v>
      </c>
      <c r="AL48" s="147" t="s">
        <v>38</v>
      </c>
      <c r="AM48" s="147" t="s">
        <v>38</v>
      </c>
      <c r="AN48" s="147" t="s">
        <v>38</v>
      </c>
      <c r="AO48" s="146"/>
      <c r="AP48" s="63"/>
    </row>
    <row r="49" spans="1:42" ht="21.75" customHeight="1" x14ac:dyDescent="0.2">
      <c r="A49" s="342"/>
      <c r="B49" s="263" t="s">
        <v>113</v>
      </c>
      <c r="C49" s="158" t="s">
        <v>38</v>
      </c>
      <c r="D49" s="158" t="s">
        <v>38</v>
      </c>
      <c r="E49" s="158">
        <v>1</v>
      </c>
      <c r="F49" s="158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299">
        <f t="shared" si="32"/>
        <v>5</v>
      </c>
      <c r="L49" s="79">
        <v>0</v>
      </c>
      <c r="M49" s="124">
        <f t="shared" si="33"/>
        <v>5</v>
      </c>
      <c r="N49" s="98">
        <v>36.638888888888886</v>
      </c>
      <c r="O49" s="98">
        <v>0</v>
      </c>
      <c r="P49" s="82">
        <f t="shared" ref="P49:P72" si="36">SUM(N49:O49)</f>
        <v>36.638888888888886</v>
      </c>
      <c r="Q49" s="83">
        <f>P49/20</f>
        <v>1.8319444444444444</v>
      </c>
      <c r="R49" s="84">
        <f t="shared" si="19"/>
        <v>38.470833333333331</v>
      </c>
      <c r="S49" s="83">
        <f>R49/20</f>
        <v>1.9235416666666665</v>
      </c>
      <c r="T49" s="85">
        <v>178</v>
      </c>
      <c r="U49" s="85">
        <v>0</v>
      </c>
      <c r="V49" s="136">
        <f t="shared" ref="V49:V54" si="37">SUM(T49:U49)</f>
        <v>178</v>
      </c>
      <c r="W49" s="78">
        <f t="shared" si="12"/>
        <v>89</v>
      </c>
      <c r="X49" s="87">
        <f t="shared" si="21"/>
        <v>5.0857142857142854</v>
      </c>
      <c r="Y49" s="88">
        <f t="shared" si="15"/>
        <v>6.3571428571428568</v>
      </c>
      <c r="Z49" s="89">
        <f t="shared" si="34"/>
        <v>-3.1680555555555556</v>
      </c>
      <c r="AA49" s="89">
        <f t="shared" si="35"/>
        <v>8.571428571428541E-2</v>
      </c>
      <c r="AB49" s="89">
        <f t="shared" si="28"/>
        <v>1.3571428571428568</v>
      </c>
      <c r="AC49" s="159">
        <v>5</v>
      </c>
      <c r="AD49" s="160" t="s">
        <v>38</v>
      </c>
      <c r="AE49" s="94" t="s">
        <v>38</v>
      </c>
      <c r="AF49" s="94" t="s">
        <v>38</v>
      </c>
      <c r="AG49" s="94" t="s">
        <v>38</v>
      </c>
      <c r="AH49" s="94" t="s">
        <v>38</v>
      </c>
      <c r="AI49" s="94" t="s">
        <v>38</v>
      </c>
      <c r="AJ49" s="147" t="s">
        <v>38</v>
      </c>
      <c r="AK49" s="147" t="s">
        <v>38</v>
      </c>
      <c r="AL49" s="147" t="s">
        <v>38</v>
      </c>
      <c r="AM49" s="147" t="s">
        <v>38</v>
      </c>
      <c r="AN49" s="147" t="s">
        <v>38</v>
      </c>
      <c r="AO49" s="146"/>
      <c r="AP49" s="63"/>
    </row>
    <row r="50" spans="1:42" ht="21.75" customHeight="1" x14ac:dyDescent="0.2">
      <c r="A50" s="342"/>
      <c r="B50" s="263" t="s">
        <v>114</v>
      </c>
      <c r="C50" s="158" t="s">
        <v>38</v>
      </c>
      <c r="D50" s="158" t="s">
        <v>38</v>
      </c>
      <c r="E50" s="158">
        <v>2</v>
      </c>
      <c r="F50" s="158" t="s">
        <v>38</v>
      </c>
      <c r="G50" s="76" t="s">
        <v>38</v>
      </c>
      <c r="H50" s="76" t="s">
        <v>38</v>
      </c>
      <c r="I50" s="76" t="s">
        <v>38</v>
      </c>
      <c r="J50" s="77">
        <v>4</v>
      </c>
      <c r="K50" s="299">
        <f t="shared" si="32"/>
        <v>6</v>
      </c>
      <c r="L50" s="79">
        <v>0</v>
      </c>
      <c r="M50" s="124">
        <f t="shared" si="33"/>
        <v>6</v>
      </c>
      <c r="N50" s="98">
        <v>234.02777777777777</v>
      </c>
      <c r="O50" s="98">
        <v>0</v>
      </c>
      <c r="P50" s="82">
        <f t="shared" si="36"/>
        <v>234.02777777777777</v>
      </c>
      <c r="Q50" s="83">
        <f>P50/30</f>
        <v>7.8009259259259256</v>
      </c>
      <c r="R50" s="84">
        <f t="shared" si="19"/>
        <v>245.72916666666666</v>
      </c>
      <c r="S50" s="83">
        <f>R50/30</f>
        <v>8.1909722222222214</v>
      </c>
      <c r="T50" s="85">
        <v>126</v>
      </c>
      <c r="U50" s="85">
        <v>0</v>
      </c>
      <c r="V50" s="136">
        <f t="shared" si="37"/>
        <v>126</v>
      </c>
      <c r="W50" s="78">
        <f t="shared" si="12"/>
        <v>63</v>
      </c>
      <c r="X50" s="87">
        <f t="shared" si="21"/>
        <v>3.6</v>
      </c>
      <c r="Y50" s="88">
        <f t="shared" si="15"/>
        <v>4.5</v>
      </c>
      <c r="Z50" s="89">
        <f t="shared" si="34"/>
        <v>1.8009259259259256</v>
      </c>
      <c r="AA50" s="89">
        <f t="shared" si="35"/>
        <v>-2.4</v>
      </c>
      <c r="AB50" s="89">
        <f t="shared" si="28"/>
        <v>-1.5</v>
      </c>
      <c r="AC50" s="159">
        <v>5</v>
      </c>
      <c r="AD50" s="160" t="s">
        <v>38</v>
      </c>
      <c r="AE50" s="94" t="s">
        <v>38</v>
      </c>
      <c r="AF50" s="94" t="s">
        <v>38</v>
      </c>
      <c r="AG50" s="94" t="s">
        <v>38</v>
      </c>
      <c r="AH50" s="94" t="s">
        <v>38</v>
      </c>
      <c r="AI50" s="94" t="s">
        <v>38</v>
      </c>
      <c r="AJ50" s="147" t="s">
        <v>38</v>
      </c>
      <c r="AK50" s="147" t="s">
        <v>38</v>
      </c>
      <c r="AL50" s="147" t="s">
        <v>38</v>
      </c>
      <c r="AM50" s="147" t="s">
        <v>38</v>
      </c>
      <c r="AN50" s="147" t="s">
        <v>38</v>
      </c>
      <c r="AO50" s="146"/>
      <c r="AP50" s="63"/>
    </row>
    <row r="51" spans="1:42" ht="21.75" customHeight="1" x14ac:dyDescent="0.2">
      <c r="A51" s="342" t="s">
        <v>74</v>
      </c>
      <c r="B51" s="263" t="s">
        <v>27</v>
      </c>
      <c r="C51" s="300" t="s">
        <v>38</v>
      </c>
      <c r="D51" s="300" t="s">
        <v>38</v>
      </c>
      <c r="E51" s="300">
        <v>1</v>
      </c>
      <c r="F51" s="300">
        <v>1</v>
      </c>
      <c r="G51" s="301" t="s">
        <v>38</v>
      </c>
      <c r="H51" s="301" t="s">
        <v>38</v>
      </c>
      <c r="I51" s="301">
        <v>3</v>
      </c>
      <c r="J51" s="302">
        <v>8</v>
      </c>
      <c r="K51" s="126">
        <v>13</v>
      </c>
      <c r="L51" s="79">
        <v>1</v>
      </c>
      <c r="M51" s="303">
        <v>12</v>
      </c>
      <c r="N51" s="98">
        <v>70.722222222222229</v>
      </c>
      <c r="O51" s="98">
        <v>0</v>
      </c>
      <c r="P51" s="82">
        <f t="shared" si="36"/>
        <v>70.722222222222229</v>
      </c>
      <c r="Q51" s="83">
        <f>P51/20</f>
        <v>3.5361111111111114</v>
      </c>
      <c r="R51" s="84">
        <f t="shared" si="19"/>
        <v>74.25833333333334</v>
      </c>
      <c r="S51" s="83">
        <f>R51/20</f>
        <v>3.7129166666666671</v>
      </c>
      <c r="T51" s="103">
        <v>245</v>
      </c>
      <c r="U51" s="85">
        <v>0</v>
      </c>
      <c r="V51" s="136">
        <f t="shared" si="37"/>
        <v>245</v>
      </c>
      <c r="W51" s="78">
        <f t="shared" si="12"/>
        <v>122.5</v>
      </c>
      <c r="X51" s="87">
        <f t="shared" si="21"/>
        <v>7</v>
      </c>
      <c r="Y51" s="88">
        <f t="shared" si="15"/>
        <v>8.75</v>
      </c>
      <c r="Z51" s="89">
        <f t="shared" si="34"/>
        <v>-8.4638888888888886</v>
      </c>
      <c r="AA51" s="89">
        <f t="shared" si="35"/>
        <v>-5</v>
      </c>
      <c r="AB51" s="89">
        <f t="shared" si="28"/>
        <v>-3.25</v>
      </c>
      <c r="AC51" s="159">
        <v>5</v>
      </c>
      <c r="AD51" s="160" t="s">
        <v>38</v>
      </c>
      <c r="AE51" s="94" t="s">
        <v>38</v>
      </c>
      <c r="AF51" s="94" t="s">
        <v>38</v>
      </c>
      <c r="AG51" s="94">
        <v>1</v>
      </c>
      <c r="AH51" s="94" t="s">
        <v>38</v>
      </c>
      <c r="AI51" s="94" t="s">
        <v>38</v>
      </c>
      <c r="AJ51" s="147" t="s">
        <v>38</v>
      </c>
      <c r="AK51" s="147" t="s">
        <v>38</v>
      </c>
      <c r="AL51" s="147" t="s">
        <v>38</v>
      </c>
      <c r="AM51" s="147" t="s">
        <v>38</v>
      </c>
      <c r="AN51" s="147" t="s">
        <v>38</v>
      </c>
      <c r="AO51" s="146"/>
      <c r="AP51" s="63"/>
    </row>
    <row r="52" spans="1:42" ht="21.75" customHeight="1" x14ac:dyDescent="0.2">
      <c r="A52" s="342"/>
      <c r="B52" s="263" t="s">
        <v>21</v>
      </c>
      <c r="C52" s="300" t="s">
        <v>38</v>
      </c>
      <c r="D52" s="300" t="s">
        <v>38</v>
      </c>
      <c r="E52" s="300">
        <v>2</v>
      </c>
      <c r="F52" s="300" t="s">
        <v>38</v>
      </c>
      <c r="G52" s="301" t="s">
        <v>38</v>
      </c>
      <c r="H52" s="301" t="s">
        <v>38</v>
      </c>
      <c r="I52" s="301">
        <v>2</v>
      </c>
      <c r="J52" s="302">
        <v>2</v>
      </c>
      <c r="K52" s="126">
        <v>6</v>
      </c>
      <c r="L52" s="79">
        <v>0</v>
      </c>
      <c r="M52" s="303">
        <v>6</v>
      </c>
      <c r="N52" s="98">
        <v>119.86111111111111</v>
      </c>
      <c r="O52" s="98">
        <v>0</v>
      </c>
      <c r="P52" s="82">
        <f t="shared" si="36"/>
        <v>119.86111111111111</v>
      </c>
      <c r="Q52" s="83">
        <f>P52/30</f>
        <v>3.9953703703703707</v>
      </c>
      <c r="R52" s="84">
        <f t="shared" si="19"/>
        <v>125.85416666666667</v>
      </c>
      <c r="S52" s="83">
        <f>R52/30</f>
        <v>4.1951388888888888</v>
      </c>
      <c r="T52" s="103">
        <v>149</v>
      </c>
      <c r="U52" s="85">
        <v>0</v>
      </c>
      <c r="V52" s="136">
        <f t="shared" si="37"/>
        <v>149</v>
      </c>
      <c r="W52" s="78">
        <f t="shared" si="12"/>
        <v>74.5</v>
      </c>
      <c r="X52" s="87">
        <f t="shared" si="21"/>
        <v>4.2571428571428571</v>
      </c>
      <c r="Y52" s="88">
        <f t="shared" si="15"/>
        <v>5.3214285714285712</v>
      </c>
      <c r="Z52" s="89">
        <f t="shared" si="34"/>
        <v>-2.0046296296296293</v>
      </c>
      <c r="AA52" s="89">
        <f t="shared" si="35"/>
        <v>-1.7428571428571429</v>
      </c>
      <c r="AB52" s="89">
        <f t="shared" si="28"/>
        <v>-0.67857142857142883</v>
      </c>
      <c r="AC52" s="159">
        <v>5</v>
      </c>
      <c r="AD52" s="91">
        <f>P52/30</f>
        <v>3.9953703703703707</v>
      </c>
      <c r="AE52" s="94" t="s">
        <v>38</v>
      </c>
      <c r="AF52" s="94" t="s">
        <v>38</v>
      </c>
      <c r="AG52" s="94" t="s">
        <v>38</v>
      </c>
      <c r="AH52" s="94" t="s">
        <v>38</v>
      </c>
      <c r="AI52" s="94" t="s">
        <v>38</v>
      </c>
      <c r="AJ52" s="147" t="s">
        <v>38</v>
      </c>
      <c r="AK52" s="147" t="s">
        <v>38</v>
      </c>
      <c r="AL52" s="147" t="s">
        <v>38</v>
      </c>
      <c r="AM52" s="147" t="s">
        <v>38</v>
      </c>
      <c r="AN52" s="147" t="s">
        <v>38</v>
      </c>
      <c r="AO52" s="146"/>
      <c r="AP52" s="63"/>
    </row>
    <row r="53" spans="1:42" ht="21.75" customHeight="1" x14ac:dyDescent="0.2">
      <c r="A53" s="342" t="s">
        <v>75</v>
      </c>
      <c r="B53" s="263" t="s">
        <v>27</v>
      </c>
      <c r="C53" s="158" t="s">
        <v>38</v>
      </c>
      <c r="D53" s="158" t="s">
        <v>38</v>
      </c>
      <c r="E53" s="158">
        <v>2</v>
      </c>
      <c r="F53" s="158">
        <v>1</v>
      </c>
      <c r="G53" s="76" t="s">
        <v>38</v>
      </c>
      <c r="H53" s="76" t="s">
        <v>38</v>
      </c>
      <c r="I53" s="76">
        <v>5</v>
      </c>
      <c r="J53" s="77">
        <v>4</v>
      </c>
      <c r="K53" s="299">
        <f t="shared" si="32"/>
        <v>12</v>
      </c>
      <c r="L53" s="79">
        <v>1</v>
      </c>
      <c r="M53" s="124">
        <f t="shared" si="33"/>
        <v>11</v>
      </c>
      <c r="N53" s="98">
        <v>85.555555555555557</v>
      </c>
      <c r="O53" s="98">
        <v>0</v>
      </c>
      <c r="P53" s="82">
        <f t="shared" si="36"/>
        <v>85.555555555555557</v>
      </c>
      <c r="Q53" s="83">
        <f>P53/20</f>
        <v>4.2777777777777777</v>
      </c>
      <c r="R53" s="84">
        <f t="shared" si="19"/>
        <v>89.833333333333329</v>
      </c>
      <c r="S53" s="83">
        <f>R53/20</f>
        <v>4.4916666666666663</v>
      </c>
      <c r="T53" s="103">
        <v>291</v>
      </c>
      <c r="U53" s="85">
        <v>0</v>
      </c>
      <c r="V53" s="136">
        <f t="shared" si="37"/>
        <v>291</v>
      </c>
      <c r="W53" s="78">
        <f t="shared" si="12"/>
        <v>145.5</v>
      </c>
      <c r="X53" s="87">
        <f t="shared" si="21"/>
        <v>8.3142857142857149</v>
      </c>
      <c r="Y53" s="88">
        <f t="shared" si="15"/>
        <v>10.392857142857142</v>
      </c>
      <c r="Z53" s="89">
        <f t="shared" si="34"/>
        <v>-6.7222222222222223</v>
      </c>
      <c r="AA53" s="89">
        <f t="shared" si="35"/>
        <v>-2.6857142857142851</v>
      </c>
      <c r="AB53" s="89">
        <f t="shared" si="28"/>
        <v>-0.60714285714285765</v>
      </c>
      <c r="AC53" s="159">
        <v>5</v>
      </c>
      <c r="AD53" s="160" t="s">
        <v>38</v>
      </c>
      <c r="AE53" s="94" t="s">
        <v>38</v>
      </c>
      <c r="AF53" s="94">
        <v>1</v>
      </c>
      <c r="AG53" s="94">
        <v>1</v>
      </c>
      <c r="AH53" s="94" t="s">
        <v>38</v>
      </c>
      <c r="AI53" s="94" t="s">
        <v>38</v>
      </c>
      <c r="AJ53" s="147" t="s">
        <v>38</v>
      </c>
      <c r="AK53" s="147" t="s">
        <v>38</v>
      </c>
      <c r="AL53" s="147" t="s">
        <v>38</v>
      </c>
      <c r="AM53" s="147" t="s">
        <v>38</v>
      </c>
      <c r="AN53" s="147" t="s">
        <v>38</v>
      </c>
      <c r="AO53" s="146"/>
      <c r="AP53" s="63"/>
    </row>
    <row r="54" spans="1:42" ht="21.75" customHeight="1" x14ac:dyDescent="0.2">
      <c r="A54" s="342"/>
      <c r="B54" s="263" t="s">
        <v>21</v>
      </c>
      <c r="C54" s="158" t="s">
        <v>38</v>
      </c>
      <c r="D54" s="158" t="s">
        <v>38</v>
      </c>
      <c r="E54" s="158">
        <v>1</v>
      </c>
      <c r="F54" s="158" t="s">
        <v>38</v>
      </c>
      <c r="G54" s="76" t="s">
        <v>38</v>
      </c>
      <c r="H54" s="76" t="s">
        <v>38</v>
      </c>
      <c r="I54" s="76">
        <v>4</v>
      </c>
      <c r="J54" s="77">
        <v>1</v>
      </c>
      <c r="K54" s="299">
        <f t="shared" si="32"/>
        <v>6</v>
      </c>
      <c r="L54" s="79">
        <v>0</v>
      </c>
      <c r="M54" s="124">
        <f t="shared" si="33"/>
        <v>6</v>
      </c>
      <c r="N54" s="98">
        <v>124.33333333333333</v>
      </c>
      <c r="O54" s="98">
        <v>0</v>
      </c>
      <c r="P54" s="82">
        <f t="shared" si="36"/>
        <v>124.33333333333333</v>
      </c>
      <c r="Q54" s="83">
        <f>P54/30</f>
        <v>4.1444444444444439</v>
      </c>
      <c r="R54" s="84">
        <f t="shared" si="19"/>
        <v>130.54999999999998</v>
      </c>
      <c r="S54" s="83">
        <f>R54/30</f>
        <v>4.3516666666666657</v>
      </c>
      <c r="T54" s="103">
        <v>140</v>
      </c>
      <c r="U54" s="85">
        <v>0</v>
      </c>
      <c r="V54" s="136">
        <f t="shared" si="37"/>
        <v>140</v>
      </c>
      <c r="W54" s="78">
        <f t="shared" si="12"/>
        <v>70</v>
      </c>
      <c r="X54" s="87">
        <f t="shared" si="21"/>
        <v>4</v>
      </c>
      <c r="Y54" s="88">
        <f t="shared" si="15"/>
        <v>5</v>
      </c>
      <c r="Z54" s="89">
        <f t="shared" si="34"/>
        <v>-1.8555555555555561</v>
      </c>
      <c r="AA54" s="89">
        <f t="shared" si="35"/>
        <v>-2</v>
      </c>
      <c r="AB54" s="89">
        <f t="shared" si="28"/>
        <v>-1</v>
      </c>
      <c r="AC54" s="159">
        <v>5</v>
      </c>
      <c r="AD54" s="91">
        <f>P54/30</f>
        <v>4.1444444444444439</v>
      </c>
      <c r="AE54" s="94" t="s">
        <v>38</v>
      </c>
      <c r="AF54" s="94" t="s">
        <v>38</v>
      </c>
      <c r="AG54" s="94" t="s">
        <v>38</v>
      </c>
      <c r="AH54" s="94" t="s">
        <v>38</v>
      </c>
      <c r="AI54" s="94" t="s">
        <v>38</v>
      </c>
      <c r="AJ54" s="147" t="s">
        <v>38</v>
      </c>
      <c r="AK54" s="147" t="s">
        <v>38</v>
      </c>
      <c r="AL54" s="147" t="s">
        <v>38</v>
      </c>
      <c r="AM54" s="147" t="s">
        <v>38</v>
      </c>
      <c r="AN54" s="147" t="s">
        <v>38</v>
      </c>
      <c r="AO54" s="146"/>
      <c r="AP54" s="63"/>
    </row>
    <row r="55" spans="1:42" ht="21.75" customHeight="1" x14ac:dyDescent="0.2">
      <c r="A55" s="342" t="s">
        <v>76</v>
      </c>
      <c r="B55" s="263" t="s">
        <v>122</v>
      </c>
      <c r="C55" s="158" t="s">
        <v>38</v>
      </c>
      <c r="D55" s="158" t="s">
        <v>38</v>
      </c>
      <c r="E55" s="158">
        <v>1</v>
      </c>
      <c r="F55" s="158" t="s">
        <v>38</v>
      </c>
      <c r="G55" s="76" t="s">
        <v>38</v>
      </c>
      <c r="H55" s="76" t="s">
        <v>38</v>
      </c>
      <c r="I55" s="76" t="s">
        <v>38</v>
      </c>
      <c r="J55" s="77" t="s">
        <v>38</v>
      </c>
      <c r="K55" s="299">
        <f t="shared" si="32"/>
        <v>1</v>
      </c>
      <c r="L55" s="79">
        <v>0</v>
      </c>
      <c r="M55" s="124">
        <f t="shared" si="33"/>
        <v>1</v>
      </c>
      <c r="N55" s="98">
        <v>0</v>
      </c>
      <c r="O55" s="98">
        <f>11.875*2</f>
        <v>23.75</v>
      </c>
      <c r="P55" s="82">
        <f t="shared" si="36"/>
        <v>23.75</v>
      </c>
      <c r="Q55" s="83">
        <f>P55/20</f>
        <v>1.1875</v>
      </c>
      <c r="R55" s="84">
        <f t="shared" si="19"/>
        <v>24.9375</v>
      </c>
      <c r="S55" s="83">
        <f>R55/20</f>
        <v>1.246875</v>
      </c>
      <c r="T55" s="96">
        <v>0</v>
      </c>
      <c r="U55" s="86">
        <v>38</v>
      </c>
      <c r="V55" s="136">
        <f>SUM(U55:U55)</f>
        <v>38</v>
      </c>
      <c r="W55" s="78">
        <f t="shared" si="12"/>
        <v>19</v>
      </c>
      <c r="X55" s="87">
        <f t="shared" si="21"/>
        <v>1.0857142857142856</v>
      </c>
      <c r="Y55" s="88">
        <f t="shared" si="15"/>
        <v>1.3571428571428572</v>
      </c>
      <c r="Z55" s="89">
        <f t="shared" si="34"/>
        <v>0.1875</v>
      </c>
      <c r="AA55" s="89">
        <f t="shared" si="35"/>
        <v>8.5714285714285632E-2</v>
      </c>
      <c r="AB55" s="89">
        <f t="shared" si="28"/>
        <v>0.35714285714285721</v>
      </c>
      <c r="AC55" s="159">
        <v>3</v>
      </c>
      <c r="AD55" s="160" t="s">
        <v>38</v>
      </c>
      <c r="AE55" s="94" t="s">
        <v>38</v>
      </c>
      <c r="AF55" s="94" t="s">
        <v>38</v>
      </c>
      <c r="AG55" s="94" t="s">
        <v>38</v>
      </c>
      <c r="AH55" s="94">
        <v>1</v>
      </c>
      <c r="AI55" s="94" t="s">
        <v>38</v>
      </c>
      <c r="AJ55" s="147" t="s">
        <v>38</v>
      </c>
      <c r="AK55" s="147" t="s">
        <v>38</v>
      </c>
      <c r="AL55" s="147" t="s">
        <v>38</v>
      </c>
      <c r="AM55" s="147" t="s">
        <v>38</v>
      </c>
      <c r="AN55" s="147" t="s">
        <v>38</v>
      </c>
      <c r="AO55" s="146" t="s">
        <v>123</v>
      </c>
      <c r="AP55" s="63"/>
    </row>
    <row r="56" spans="1:42" ht="21.75" customHeight="1" x14ac:dyDescent="0.2">
      <c r="A56" s="342"/>
      <c r="B56" s="263" t="s">
        <v>115</v>
      </c>
      <c r="C56" s="158" t="s">
        <v>38</v>
      </c>
      <c r="D56" s="158" t="s">
        <v>38</v>
      </c>
      <c r="E56" s="158" t="s">
        <v>38</v>
      </c>
      <c r="F56" s="158" t="s">
        <v>38</v>
      </c>
      <c r="G56" s="76" t="s">
        <v>38</v>
      </c>
      <c r="H56" s="76" t="s">
        <v>38</v>
      </c>
      <c r="I56" s="76">
        <v>2</v>
      </c>
      <c r="J56" s="77">
        <v>3</v>
      </c>
      <c r="K56" s="299">
        <f t="shared" si="32"/>
        <v>5</v>
      </c>
      <c r="L56" s="79">
        <v>0</v>
      </c>
      <c r="M56" s="124">
        <f t="shared" si="33"/>
        <v>5</v>
      </c>
      <c r="N56" s="98">
        <v>30.805555555555557</v>
      </c>
      <c r="O56" s="98">
        <v>0</v>
      </c>
      <c r="P56" s="82">
        <f t="shared" si="36"/>
        <v>30.805555555555557</v>
      </c>
      <c r="Q56" s="83">
        <f>P56/20</f>
        <v>1.5402777777777779</v>
      </c>
      <c r="R56" s="84">
        <f t="shared" si="19"/>
        <v>32.345833333333331</v>
      </c>
      <c r="S56" s="83">
        <f>R56/20</f>
        <v>1.6172916666666666</v>
      </c>
      <c r="T56" s="103">
        <f>107+88</f>
        <v>195</v>
      </c>
      <c r="U56" s="85">
        <v>0</v>
      </c>
      <c r="V56" s="136">
        <f>SUM(T56:U56)</f>
        <v>195</v>
      </c>
      <c r="W56" s="78">
        <f t="shared" si="12"/>
        <v>97.5</v>
      </c>
      <c r="X56" s="87">
        <f t="shared" si="21"/>
        <v>5.5714285714285712</v>
      </c>
      <c r="Y56" s="88">
        <f t="shared" si="15"/>
        <v>6.9642857142857144</v>
      </c>
      <c r="Z56" s="89">
        <f t="shared" si="34"/>
        <v>-3.4597222222222221</v>
      </c>
      <c r="AA56" s="89">
        <f t="shared" si="35"/>
        <v>0.57142857142857117</v>
      </c>
      <c r="AB56" s="89">
        <f t="shared" si="28"/>
        <v>1.9642857142857144</v>
      </c>
      <c r="AC56" s="145">
        <v>5</v>
      </c>
      <c r="AD56" s="128" t="s">
        <v>38</v>
      </c>
      <c r="AE56" s="94" t="s">
        <v>38</v>
      </c>
      <c r="AF56" s="94" t="s">
        <v>38</v>
      </c>
      <c r="AG56" s="94" t="s">
        <v>38</v>
      </c>
      <c r="AH56" s="94" t="s">
        <v>38</v>
      </c>
      <c r="AI56" s="94" t="s">
        <v>38</v>
      </c>
      <c r="AJ56" s="147" t="s">
        <v>38</v>
      </c>
      <c r="AK56" s="147" t="s">
        <v>38</v>
      </c>
      <c r="AL56" s="147" t="s">
        <v>38</v>
      </c>
      <c r="AM56" s="147" t="s">
        <v>38</v>
      </c>
      <c r="AN56" s="147" t="s">
        <v>38</v>
      </c>
      <c r="AO56" s="146" t="s">
        <v>123</v>
      </c>
      <c r="AP56" s="63"/>
    </row>
    <row r="57" spans="1:42" ht="21.75" customHeight="1" x14ac:dyDescent="0.2">
      <c r="A57" s="342"/>
      <c r="B57" s="263" t="s">
        <v>121</v>
      </c>
      <c r="C57" s="158" t="s">
        <v>38</v>
      </c>
      <c r="D57" s="158" t="s">
        <v>38</v>
      </c>
      <c r="E57" s="158">
        <v>1</v>
      </c>
      <c r="F57" s="158" t="s">
        <v>38</v>
      </c>
      <c r="G57" s="76" t="s">
        <v>38</v>
      </c>
      <c r="H57" s="76" t="s">
        <v>38</v>
      </c>
      <c r="I57" s="76" t="s">
        <v>38</v>
      </c>
      <c r="J57" s="76" t="s">
        <v>38</v>
      </c>
      <c r="K57" s="299">
        <f t="shared" si="32"/>
        <v>1</v>
      </c>
      <c r="L57" s="79">
        <v>0</v>
      </c>
      <c r="M57" s="124">
        <f t="shared" si="33"/>
        <v>1</v>
      </c>
      <c r="N57" s="98">
        <v>140.86000000000001</v>
      </c>
      <c r="O57" s="98">
        <v>0</v>
      </c>
      <c r="P57" s="82">
        <f t="shared" si="36"/>
        <v>140.86000000000001</v>
      </c>
      <c r="Q57" s="83">
        <f>P57/30</f>
        <v>4.695333333333334</v>
      </c>
      <c r="R57" s="84">
        <f t="shared" si="19"/>
        <v>147.90300000000002</v>
      </c>
      <c r="S57" s="83">
        <f>R57/20</f>
        <v>7.395150000000001</v>
      </c>
      <c r="T57" s="103">
        <f>107+9</f>
        <v>116</v>
      </c>
      <c r="U57" s="85">
        <v>0</v>
      </c>
      <c r="V57" s="136">
        <f>SUM(T57:U57)</f>
        <v>116</v>
      </c>
      <c r="W57" s="78">
        <f t="shared" si="12"/>
        <v>58</v>
      </c>
      <c r="X57" s="87">
        <f t="shared" si="21"/>
        <v>3.3142857142857145</v>
      </c>
      <c r="Y57" s="88">
        <f t="shared" si="15"/>
        <v>4.1428571428571432</v>
      </c>
      <c r="Z57" s="89">
        <f t="shared" si="34"/>
        <v>3.695333333333334</v>
      </c>
      <c r="AA57" s="89">
        <f t="shared" si="35"/>
        <v>2.3142857142857145</v>
      </c>
      <c r="AB57" s="89">
        <f t="shared" si="28"/>
        <v>3.1428571428571432</v>
      </c>
      <c r="AC57" s="145">
        <v>5</v>
      </c>
      <c r="AD57" s="91">
        <f>P57/30</f>
        <v>4.695333333333334</v>
      </c>
      <c r="AE57" s="94" t="s">
        <v>38</v>
      </c>
      <c r="AF57" s="94" t="s">
        <v>38</v>
      </c>
      <c r="AG57" s="94" t="s">
        <v>38</v>
      </c>
      <c r="AH57" s="94" t="s">
        <v>38</v>
      </c>
      <c r="AI57" s="94" t="s">
        <v>38</v>
      </c>
      <c r="AJ57" s="147" t="s">
        <v>38</v>
      </c>
      <c r="AK57" s="147" t="s">
        <v>38</v>
      </c>
      <c r="AL57" s="147" t="s">
        <v>38</v>
      </c>
      <c r="AM57" s="147" t="s">
        <v>38</v>
      </c>
      <c r="AN57" s="147" t="s">
        <v>38</v>
      </c>
      <c r="AO57" s="146"/>
      <c r="AP57" s="63"/>
    </row>
    <row r="58" spans="1:42" ht="21.75" customHeight="1" x14ac:dyDescent="0.2">
      <c r="A58" s="342"/>
      <c r="B58" s="263" t="s">
        <v>116</v>
      </c>
      <c r="C58" s="158" t="s">
        <v>38</v>
      </c>
      <c r="D58" s="158">
        <v>1</v>
      </c>
      <c r="E58" s="158">
        <v>1</v>
      </c>
      <c r="F58" s="158" t="s">
        <v>38</v>
      </c>
      <c r="G58" s="76" t="s">
        <v>38</v>
      </c>
      <c r="H58" s="76">
        <v>1</v>
      </c>
      <c r="I58" s="76">
        <v>3</v>
      </c>
      <c r="J58" s="77">
        <v>1</v>
      </c>
      <c r="K58" s="299">
        <f t="shared" si="32"/>
        <v>7</v>
      </c>
      <c r="L58" s="79">
        <v>1</v>
      </c>
      <c r="M58" s="124">
        <f t="shared" si="33"/>
        <v>6</v>
      </c>
      <c r="N58" s="98">
        <v>131.55555555555554</v>
      </c>
      <c r="O58" s="98">
        <v>0</v>
      </c>
      <c r="P58" s="82">
        <f t="shared" si="36"/>
        <v>131.55555555555554</v>
      </c>
      <c r="Q58" s="83">
        <f>P58/30</f>
        <v>4.3851851851851844</v>
      </c>
      <c r="R58" s="84">
        <f t="shared" si="19"/>
        <v>138.13333333333333</v>
      </c>
      <c r="S58" s="83">
        <f>R58/30</f>
        <v>4.6044444444444439</v>
      </c>
      <c r="T58" s="103">
        <v>108</v>
      </c>
      <c r="U58" s="85">
        <v>0</v>
      </c>
      <c r="V58" s="136">
        <f>SUM(T58:U58)</f>
        <v>108</v>
      </c>
      <c r="W58" s="78">
        <f t="shared" si="12"/>
        <v>54</v>
      </c>
      <c r="X58" s="87">
        <f t="shared" si="21"/>
        <v>3.0857142857142859</v>
      </c>
      <c r="Y58" s="88">
        <f t="shared" si="15"/>
        <v>3.8571428571428572</v>
      </c>
      <c r="Z58" s="89">
        <f t="shared" si="34"/>
        <v>-1.6148148148148156</v>
      </c>
      <c r="AA58" s="89">
        <f t="shared" si="35"/>
        <v>-2.9142857142857141</v>
      </c>
      <c r="AB58" s="89">
        <f t="shared" si="28"/>
        <v>-2.1428571428571428</v>
      </c>
      <c r="AC58" s="145">
        <v>5</v>
      </c>
      <c r="AD58" s="91">
        <f>P58/30</f>
        <v>4.3851851851851844</v>
      </c>
      <c r="AE58" s="94" t="s">
        <v>38</v>
      </c>
      <c r="AF58" s="94" t="s">
        <v>38</v>
      </c>
      <c r="AG58" s="94" t="s">
        <v>38</v>
      </c>
      <c r="AH58" s="94">
        <v>2</v>
      </c>
      <c r="AI58" s="94" t="s">
        <v>38</v>
      </c>
      <c r="AJ58" s="147" t="s">
        <v>38</v>
      </c>
      <c r="AK58" s="147" t="s">
        <v>38</v>
      </c>
      <c r="AL58" s="147" t="s">
        <v>38</v>
      </c>
      <c r="AM58" s="147" t="s">
        <v>38</v>
      </c>
      <c r="AN58" s="147" t="s">
        <v>38</v>
      </c>
      <c r="AO58" s="94" t="s">
        <v>127</v>
      </c>
      <c r="AP58" s="63"/>
    </row>
    <row r="59" spans="1:42" ht="21.75" customHeight="1" x14ac:dyDescent="0.2">
      <c r="A59" s="162" t="s">
        <v>77</v>
      </c>
      <c r="B59" s="263" t="s">
        <v>27</v>
      </c>
      <c r="C59" s="158" t="s">
        <v>38</v>
      </c>
      <c r="D59" s="158">
        <v>1</v>
      </c>
      <c r="E59" s="158" t="s">
        <v>38</v>
      </c>
      <c r="F59" s="158" t="s">
        <v>38</v>
      </c>
      <c r="G59" s="76" t="s">
        <v>38</v>
      </c>
      <c r="H59" s="76">
        <v>1</v>
      </c>
      <c r="I59" s="76" t="s">
        <v>38</v>
      </c>
      <c r="J59" s="77">
        <v>3</v>
      </c>
      <c r="K59" s="299">
        <f t="shared" si="32"/>
        <v>5</v>
      </c>
      <c r="L59" s="79">
        <v>0</v>
      </c>
      <c r="M59" s="124">
        <f t="shared" si="33"/>
        <v>5</v>
      </c>
      <c r="N59" s="98">
        <v>163.91666666666666</v>
      </c>
      <c r="O59" s="98">
        <v>0</v>
      </c>
      <c r="P59" s="82">
        <f t="shared" si="36"/>
        <v>163.91666666666666</v>
      </c>
      <c r="Q59" s="83">
        <f t="shared" ref="Q59:Q69" si="38">P59/20</f>
        <v>8.1958333333333329</v>
      </c>
      <c r="R59" s="84">
        <f t="shared" si="19"/>
        <v>172.11249999999998</v>
      </c>
      <c r="S59" s="83">
        <f t="shared" ref="S59:S69" si="39">R59/20</f>
        <v>8.6056249999999999</v>
      </c>
      <c r="T59" s="103">
        <v>117</v>
      </c>
      <c r="U59" s="85">
        <v>0</v>
      </c>
      <c r="V59" s="136">
        <f>SUM(T59:U59)</f>
        <v>117</v>
      </c>
      <c r="W59" s="78">
        <f t="shared" si="12"/>
        <v>58.5</v>
      </c>
      <c r="X59" s="87">
        <f t="shared" si="21"/>
        <v>3.342857142857143</v>
      </c>
      <c r="Y59" s="88">
        <f t="shared" si="15"/>
        <v>4.1785714285714288</v>
      </c>
      <c r="Z59" s="89">
        <f t="shared" si="34"/>
        <v>3.1958333333333329</v>
      </c>
      <c r="AA59" s="89">
        <f t="shared" si="35"/>
        <v>-1.657142857142857</v>
      </c>
      <c r="AB59" s="89">
        <f t="shared" si="28"/>
        <v>-0.82142857142857117</v>
      </c>
      <c r="AC59" s="145">
        <v>5</v>
      </c>
      <c r="AD59" s="128" t="s">
        <v>38</v>
      </c>
      <c r="AE59" s="94" t="s">
        <v>38</v>
      </c>
      <c r="AF59" s="94" t="s">
        <v>38</v>
      </c>
      <c r="AG59" s="94" t="s">
        <v>38</v>
      </c>
      <c r="AH59" s="94" t="s">
        <v>38</v>
      </c>
      <c r="AI59" s="94" t="s">
        <v>38</v>
      </c>
      <c r="AJ59" s="147" t="s">
        <v>38</v>
      </c>
      <c r="AK59" s="147" t="s">
        <v>38</v>
      </c>
      <c r="AL59" s="147" t="s">
        <v>38</v>
      </c>
      <c r="AM59" s="147" t="s">
        <v>38</v>
      </c>
      <c r="AN59" s="147" t="s">
        <v>38</v>
      </c>
      <c r="AO59" s="146"/>
      <c r="AP59" s="63"/>
    </row>
    <row r="60" spans="1:42" ht="21.75" customHeight="1" x14ac:dyDescent="0.2">
      <c r="A60" s="308" t="s">
        <v>78</v>
      </c>
      <c r="B60" s="263" t="s">
        <v>182</v>
      </c>
      <c r="C60" s="158" t="s">
        <v>38</v>
      </c>
      <c r="D60" s="158" t="s">
        <v>38</v>
      </c>
      <c r="E60" s="158">
        <v>2</v>
      </c>
      <c r="F60" s="158" t="s">
        <v>38</v>
      </c>
      <c r="G60" s="76" t="s">
        <v>38</v>
      </c>
      <c r="H60" s="76" t="s">
        <v>38</v>
      </c>
      <c r="I60" s="76">
        <v>1</v>
      </c>
      <c r="J60" s="77" t="s">
        <v>38</v>
      </c>
      <c r="K60" s="299">
        <f t="shared" si="32"/>
        <v>3</v>
      </c>
      <c r="L60" s="79">
        <v>0</v>
      </c>
      <c r="M60" s="124">
        <f t="shared" si="33"/>
        <v>3</v>
      </c>
      <c r="N60" s="98">
        <v>0</v>
      </c>
      <c r="O60" s="98">
        <v>3.458333333333333</v>
      </c>
      <c r="P60" s="82">
        <f t="shared" si="36"/>
        <v>3.458333333333333</v>
      </c>
      <c r="Q60" s="83">
        <f t="shared" si="38"/>
        <v>0.17291666666666666</v>
      </c>
      <c r="R60" s="84">
        <f t="shared" si="19"/>
        <v>3.6312499999999996</v>
      </c>
      <c r="S60" s="83">
        <f t="shared" si="39"/>
        <v>0.18156249999999999</v>
      </c>
      <c r="T60" s="96">
        <v>0</v>
      </c>
      <c r="U60" s="85">
        <f>20+28</f>
        <v>48</v>
      </c>
      <c r="V60" s="136">
        <f>SUM(U60:U60)</f>
        <v>48</v>
      </c>
      <c r="W60" s="78">
        <f t="shared" si="12"/>
        <v>24</v>
      </c>
      <c r="X60" s="87">
        <f t="shared" si="21"/>
        <v>1.3714285714285714</v>
      </c>
      <c r="Y60" s="88">
        <f t="shared" si="15"/>
        <v>1.7142857142857142</v>
      </c>
      <c r="Z60" s="100">
        <f t="shared" si="34"/>
        <v>-2.8270833333333334</v>
      </c>
      <c r="AA60" s="100">
        <f t="shared" si="35"/>
        <v>-1.6285714285714286</v>
      </c>
      <c r="AB60" s="100">
        <f t="shared" si="28"/>
        <v>-1.2857142857142858</v>
      </c>
      <c r="AC60" s="145">
        <v>3</v>
      </c>
      <c r="AD60" s="128" t="s">
        <v>38</v>
      </c>
      <c r="AE60" s="94" t="s">
        <v>38</v>
      </c>
      <c r="AF60" s="94" t="s">
        <v>38</v>
      </c>
      <c r="AG60" s="94" t="s">
        <v>38</v>
      </c>
      <c r="AH60" s="94" t="s">
        <v>38</v>
      </c>
      <c r="AI60" s="94" t="s">
        <v>38</v>
      </c>
      <c r="AJ60" s="147" t="s">
        <v>38</v>
      </c>
      <c r="AK60" s="147" t="s">
        <v>38</v>
      </c>
      <c r="AL60" s="147" t="s">
        <v>38</v>
      </c>
      <c r="AM60" s="147" t="s">
        <v>38</v>
      </c>
      <c r="AN60" s="147" t="s">
        <v>38</v>
      </c>
      <c r="AO60" s="146"/>
      <c r="AP60" s="63"/>
    </row>
    <row r="61" spans="1:42" ht="21.75" customHeight="1" x14ac:dyDescent="0.2">
      <c r="A61" s="308"/>
      <c r="B61" s="263" t="s">
        <v>117</v>
      </c>
      <c r="C61" s="158" t="s">
        <v>38</v>
      </c>
      <c r="D61" s="158" t="s">
        <v>38</v>
      </c>
      <c r="E61" s="158" t="s">
        <v>38</v>
      </c>
      <c r="F61" s="158">
        <v>2</v>
      </c>
      <c r="G61" s="76" t="s">
        <v>38</v>
      </c>
      <c r="H61" s="76" t="s">
        <v>38</v>
      </c>
      <c r="I61" s="76">
        <v>1</v>
      </c>
      <c r="J61" s="77">
        <v>4</v>
      </c>
      <c r="K61" s="299">
        <f t="shared" ref="K61:K72" si="40">SUM(D61:J61)</f>
        <v>7</v>
      </c>
      <c r="L61" s="79">
        <v>1</v>
      </c>
      <c r="M61" s="124">
        <f t="shared" si="33"/>
        <v>6</v>
      </c>
      <c r="N61" s="98">
        <v>85.555555555555557</v>
      </c>
      <c r="O61" s="98">
        <v>0</v>
      </c>
      <c r="P61" s="82">
        <f t="shared" si="36"/>
        <v>85.555555555555557</v>
      </c>
      <c r="Q61" s="83">
        <f t="shared" si="38"/>
        <v>4.2777777777777777</v>
      </c>
      <c r="R61" s="84">
        <f t="shared" si="19"/>
        <v>89.833333333333329</v>
      </c>
      <c r="S61" s="83">
        <f t="shared" si="39"/>
        <v>4.4916666666666663</v>
      </c>
      <c r="T61" s="103">
        <f>278+92</f>
        <v>370</v>
      </c>
      <c r="U61" s="85">
        <v>0</v>
      </c>
      <c r="V61" s="136">
        <f t="shared" ref="V61:V89" si="41">SUM(T61:U61)</f>
        <v>370</v>
      </c>
      <c r="W61" s="78">
        <f t="shared" si="12"/>
        <v>185</v>
      </c>
      <c r="X61" s="87">
        <f t="shared" si="21"/>
        <v>10.571428571428571</v>
      </c>
      <c r="Y61" s="88">
        <f t="shared" si="15"/>
        <v>13.214285714285714</v>
      </c>
      <c r="Z61" s="89">
        <f t="shared" si="34"/>
        <v>-1.7222222222222223</v>
      </c>
      <c r="AA61" s="89">
        <f t="shared" si="35"/>
        <v>4.5714285714285712</v>
      </c>
      <c r="AB61" s="89">
        <f t="shared" si="28"/>
        <v>7.2142857142857135</v>
      </c>
      <c r="AC61" s="145">
        <v>5</v>
      </c>
      <c r="AD61" s="128" t="s">
        <v>38</v>
      </c>
      <c r="AE61" s="94" t="s">
        <v>38</v>
      </c>
      <c r="AF61" s="94" t="s">
        <v>38</v>
      </c>
      <c r="AG61" s="94" t="s">
        <v>38</v>
      </c>
      <c r="AH61" s="94" t="s">
        <v>38</v>
      </c>
      <c r="AI61" s="94" t="s">
        <v>38</v>
      </c>
      <c r="AJ61" s="147" t="s">
        <v>38</v>
      </c>
      <c r="AK61" s="147" t="s">
        <v>38</v>
      </c>
      <c r="AL61" s="147" t="s">
        <v>38</v>
      </c>
      <c r="AM61" s="147" t="s">
        <v>38</v>
      </c>
      <c r="AN61" s="147" t="s">
        <v>38</v>
      </c>
      <c r="AO61" s="94" t="s">
        <v>132</v>
      </c>
      <c r="AP61" s="63"/>
    </row>
    <row r="62" spans="1:42" ht="21.75" customHeight="1" x14ac:dyDescent="0.2">
      <c r="A62" s="308"/>
      <c r="B62" s="263" t="s">
        <v>42</v>
      </c>
      <c r="C62" s="158" t="s">
        <v>38</v>
      </c>
      <c r="D62" s="158" t="s">
        <v>38</v>
      </c>
      <c r="E62" s="158" t="s">
        <v>38</v>
      </c>
      <c r="F62" s="158" t="s">
        <v>38</v>
      </c>
      <c r="G62" s="76" t="s">
        <v>38</v>
      </c>
      <c r="H62" s="76" t="s">
        <v>38</v>
      </c>
      <c r="I62" s="76">
        <v>3</v>
      </c>
      <c r="J62" s="77">
        <v>3</v>
      </c>
      <c r="K62" s="299">
        <f t="shared" si="40"/>
        <v>6</v>
      </c>
      <c r="L62" s="79">
        <v>0</v>
      </c>
      <c r="M62" s="124">
        <f t="shared" si="33"/>
        <v>6</v>
      </c>
      <c r="N62" s="98">
        <v>25.361111111111111</v>
      </c>
      <c r="O62" s="98">
        <v>0</v>
      </c>
      <c r="P62" s="82">
        <f t="shared" si="36"/>
        <v>25.361111111111111</v>
      </c>
      <c r="Q62" s="83">
        <f t="shared" si="38"/>
        <v>1.2680555555555555</v>
      </c>
      <c r="R62" s="84">
        <f t="shared" si="19"/>
        <v>26.629166666666666</v>
      </c>
      <c r="S62" s="83">
        <f t="shared" si="39"/>
        <v>1.3314583333333334</v>
      </c>
      <c r="T62" s="103">
        <v>182</v>
      </c>
      <c r="U62" s="85">
        <v>0</v>
      </c>
      <c r="V62" s="136">
        <f t="shared" si="41"/>
        <v>182</v>
      </c>
      <c r="W62" s="78">
        <f t="shared" si="12"/>
        <v>91</v>
      </c>
      <c r="X62" s="87">
        <f t="shared" si="21"/>
        <v>5.2</v>
      </c>
      <c r="Y62" s="88">
        <f t="shared" si="15"/>
        <v>6.5</v>
      </c>
      <c r="Z62" s="89">
        <f t="shared" si="34"/>
        <v>-4.7319444444444443</v>
      </c>
      <c r="AA62" s="89">
        <f t="shared" si="35"/>
        <v>-0.79999999999999982</v>
      </c>
      <c r="AB62" s="89">
        <f t="shared" si="28"/>
        <v>0.5</v>
      </c>
      <c r="AC62" s="145">
        <v>5</v>
      </c>
      <c r="AD62" s="128" t="s">
        <v>38</v>
      </c>
      <c r="AE62" s="94" t="s">
        <v>38</v>
      </c>
      <c r="AF62" s="94" t="s">
        <v>38</v>
      </c>
      <c r="AG62" s="94" t="s">
        <v>38</v>
      </c>
      <c r="AH62" s="94" t="s">
        <v>38</v>
      </c>
      <c r="AI62" s="94" t="s">
        <v>38</v>
      </c>
      <c r="AJ62" s="147" t="s">
        <v>38</v>
      </c>
      <c r="AK62" s="147" t="s">
        <v>38</v>
      </c>
      <c r="AL62" s="147" t="s">
        <v>38</v>
      </c>
      <c r="AM62" s="147" t="s">
        <v>38</v>
      </c>
      <c r="AN62" s="147" t="s">
        <v>38</v>
      </c>
      <c r="AO62" s="146"/>
      <c r="AP62" s="63"/>
    </row>
    <row r="63" spans="1:42" ht="21.75" customHeight="1" x14ac:dyDescent="0.2">
      <c r="A63" s="308"/>
      <c r="B63" s="263" t="s">
        <v>43</v>
      </c>
      <c r="C63" s="158" t="s">
        <v>38</v>
      </c>
      <c r="D63" s="158" t="s">
        <v>38</v>
      </c>
      <c r="E63" s="158" t="s">
        <v>38</v>
      </c>
      <c r="F63" s="158">
        <v>2</v>
      </c>
      <c r="G63" s="76" t="s">
        <v>38</v>
      </c>
      <c r="H63" s="76" t="s">
        <v>38</v>
      </c>
      <c r="I63" s="76">
        <v>2</v>
      </c>
      <c r="J63" s="77">
        <v>1</v>
      </c>
      <c r="K63" s="299">
        <f>SUM(D63:J63)</f>
        <v>5</v>
      </c>
      <c r="L63" s="79">
        <v>0</v>
      </c>
      <c r="M63" s="124">
        <f>K63-L63</f>
        <v>5</v>
      </c>
      <c r="N63" s="98">
        <v>159.30555555555557</v>
      </c>
      <c r="O63" s="98">
        <v>0</v>
      </c>
      <c r="P63" s="82">
        <f>SUM(N63:O63)</f>
        <v>159.30555555555557</v>
      </c>
      <c r="Q63" s="83">
        <f>P63/20</f>
        <v>7.9652777777777786</v>
      </c>
      <c r="R63" s="84">
        <f>(P63*0.05)+P63</f>
        <v>167.27083333333334</v>
      </c>
      <c r="S63" s="83">
        <f>R63/20</f>
        <v>8.3635416666666664</v>
      </c>
      <c r="T63" s="103">
        <f>194+226</f>
        <v>420</v>
      </c>
      <c r="U63" s="85">
        <v>0</v>
      </c>
      <c r="V63" s="136">
        <f>SUM(T63:U63)</f>
        <v>420</v>
      </c>
      <c r="W63" s="78">
        <f>V63/2</f>
        <v>210</v>
      </c>
      <c r="X63" s="87">
        <f>V63/35</f>
        <v>12</v>
      </c>
      <c r="Y63" s="88">
        <f>W63/14</f>
        <v>15</v>
      </c>
      <c r="Z63" s="89">
        <f>Q63-M63</f>
        <v>2.9652777777777786</v>
      </c>
      <c r="AA63" s="89">
        <f>X63-M63</f>
        <v>7</v>
      </c>
      <c r="AB63" s="89">
        <f>Y63-M63</f>
        <v>10</v>
      </c>
      <c r="AC63" s="145">
        <v>5</v>
      </c>
      <c r="AD63" s="128" t="s">
        <v>38</v>
      </c>
      <c r="AE63" s="94" t="s">
        <v>38</v>
      </c>
      <c r="AF63" s="94" t="s">
        <v>38</v>
      </c>
      <c r="AG63" s="94" t="s">
        <v>38</v>
      </c>
      <c r="AH63" s="94" t="s">
        <v>38</v>
      </c>
      <c r="AI63" s="94" t="s">
        <v>38</v>
      </c>
      <c r="AJ63" s="147" t="s">
        <v>38</v>
      </c>
      <c r="AK63" s="147" t="s">
        <v>38</v>
      </c>
      <c r="AL63" s="147" t="s">
        <v>38</v>
      </c>
      <c r="AM63" s="147" t="s">
        <v>38</v>
      </c>
      <c r="AN63" s="147" t="s">
        <v>38</v>
      </c>
      <c r="AO63" s="146"/>
      <c r="AP63" s="63"/>
    </row>
    <row r="64" spans="1:42" ht="21.75" customHeight="1" x14ac:dyDescent="0.2">
      <c r="A64" s="316" t="s">
        <v>267</v>
      </c>
      <c r="B64" s="266" t="s">
        <v>275</v>
      </c>
      <c r="C64" s="158" t="s">
        <v>38</v>
      </c>
      <c r="D64" s="158" t="s">
        <v>38</v>
      </c>
      <c r="E64" s="158" t="s">
        <v>38</v>
      </c>
      <c r="F64" s="158">
        <v>2</v>
      </c>
      <c r="G64" s="76" t="s">
        <v>38</v>
      </c>
      <c r="H64" s="76" t="s">
        <v>38</v>
      </c>
      <c r="I64" s="76">
        <v>1</v>
      </c>
      <c r="J64" s="77">
        <v>2</v>
      </c>
      <c r="K64" s="299">
        <f>SUM(D64:J64)</f>
        <v>5</v>
      </c>
      <c r="L64" s="164" t="s">
        <v>38</v>
      </c>
      <c r="M64" s="80">
        <v>5</v>
      </c>
      <c r="N64" s="166" t="s">
        <v>38</v>
      </c>
      <c r="O64" s="166" t="s">
        <v>38</v>
      </c>
      <c r="P64" s="167" t="s">
        <v>38</v>
      </c>
      <c r="Q64" s="168" t="s">
        <v>38</v>
      </c>
      <c r="R64" s="169" t="s">
        <v>38</v>
      </c>
      <c r="S64" s="168" t="s">
        <v>38</v>
      </c>
      <c r="T64" s="170" t="s">
        <v>38</v>
      </c>
      <c r="U64" s="96" t="s">
        <v>38</v>
      </c>
      <c r="V64" s="171" t="s">
        <v>38</v>
      </c>
      <c r="W64" s="96" t="s">
        <v>38</v>
      </c>
      <c r="X64" s="172" t="s">
        <v>38</v>
      </c>
      <c r="Y64" s="173" t="s">
        <v>38</v>
      </c>
      <c r="Z64" s="174" t="s">
        <v>38</v>
      </c>
      <c r="AA64" s="174" t="s">
        <v>38</v>
      </c>
      <c r="AB64" s="174" t="s">
        <v>38</v>
      </c>
      <c r="AC64" s="145">
        <v>5</v>
      </c>
      <c r="AD64" s="128" t="s">
        <v>38</v>
      </c>
      <c r="AE64" s="94" t="s">
        <v>38</v>
      </c>
      <c r="AF64" s="94" t="s">
        <v>38</v>
      </c>
      <c r="AG64" s="94" t="s">
        <v>38</v>
      </c>
      <c r="AH64" s="94" t="s">
        <v>38</v>
      </c>
      <c r="AI64" s="94" t="s">
        <v>38</v>
      </c>
      <c r="AJ64" s="147" t="s">
        <v>38</v>
      </c>
      <c r="AK64" s="147" t="s">
        <v>38</v>
      </c>
      <c r="AL64" s="147" t="s">
        <v>38</v>
      </c>
      <c r="AM64" s="147" t="s">
        <v>38</v>
      </c>
      <c r="AN64" s="147" t="s">
        <v>38</v>
      </c>
      <c r="AO64" s="146"/>
      <c r="AP64" s="63"/>
    </row>
    <row r="65" spans="1:42" ht="21.75" customHeight="1" x14ac:dyDescent="0.2">
      <c r="A65" s="343" t="s">
        <v>269</v>
      </c>
      <c r="B65" s="263" t="s">
        <v>118</v>
      </c>
      <c r="C65" s="158" t="s">
        <v>38</v>
      </c>
      <c r="D65" s="158" t="s">
        <v>38</v>
      </c>
      <c r="E65" s="158" t="s">
        <v>38</v>
      </c>
      <c r="F65" s="158" t="s">
        <v>38</v>
      </c>
      <c r="G65" s="76" t="s">
        <v>38</v>
      </c>
      <c r="H65" s="76" t="s">
        <v>38</v>
      </c>
      <c r="I65" s="76">
        <v>3</v>
      </c>
      <c r="J65" s="77" t="s">
        <v>38</v>
      </c>
      <c r="K65" s="299">
        <f t="shared" si="40"/>
        <v>3</v>
      </c>
      <c r="L65" s="79">
        <v>0</v>
      </c>
      <c r="M65" s="80">
        <f t="shared" si="33"/>
        <v>3</v>
      </c>
      <c r="N65" s="98">
        <v>4.25</v>
      </c>
      <c r="O65" s="98">
        <v>0</v>
      </c>
      <c r="P65" s="82">
        <f t="shared" si="36"/>
        <v>4.25</v>
      </c>
      <c r="Q65" s="83">
        <f t="shared" si="38"/>
        <v>0.21249999999999999</v>
      </c>
      <c r="R65" s="84">
        <f t="shared" si="19"/>
        <v>4.4625000000000004</v>
      </c>
      <c r="S65" s="83">
        <f t="shared" si="39"/>
        <v>0.22312500000000002</v>
      </c>
      <c r="T65" s="85">
        <v>0</v>
      </c>
      <c r="U65" s="86">
        <v>20</v>
      </c>
      <c r="V65" s="136">
        <f t="shared" si="41"/>
        <v>20</v>
      </c>
      <c r="W65" s="78">
        <f t="shared" si="12"/>
        <v>10</v>
      </c>
      <c r="X65" s="87">
        <f t="shared" si="21"/>
        <v>0.5714285714285714</v>
      </c>
      <c r="Y65" s="88">
        <f t="shared" si="15"/>
        <v>0.7142857142857143</v>
      </c>
      <c r="Z65" s="89">
        <f t="shared" si="34"/>
        <v>-2.7875000000000001</v>
      </c>
      <c r="AA65" s="89">
        <f t="shared" si="35"/>
        <v>-2.4285714285714288</v>
      </c>
      <c r="AB65" s="89">
        <f t="shared" si="28"/>
        <v>-2.2857142857142856</v>
      </c>
      <c r="AC65" s="145">
        <v>3</v>
      </c>
      <c r="AD65" s="128" t="s">
        <v>38</v>
      </c>
      <c r="AE65" s="94" t="s">
        <v>38</v>
      </c>
      <c r="AF65" s="94" t="s">
        <v>38</v>
      </c>
      <c r="AG65" s="94" t="s">
        <v>38</v>
      </c>
      <c r="AH65" s="94" t="s">
        <v>38</v>
      </c>
      <c r="AI65" s="94" t="s">
        <v>38</v>
      </c>
      <c r="AJ65" s="147" t="s">
        <v>38</v>
      </c>
      <c r="AK65" s="147" t="s">
        <v>38</v>
      </c>
      <c r="AL65" s="147" t="s">
        <v>38</v>
      </c>
      <c r="AM65" s="147" t="s">
        <v>38</v>
      </c>
      <c r="AN65" s="147" t="s">
        <v>38</v>
      </c>
      <c r="AO65" s="146"/>
      <c r="AP65" s="63"/>
    </row>
    <row r="66" spans="1:42" ht="21.75" customHeight="1" x14ac:dyDescent="0.2">
      <c r="A66" s="343"/>
      <c r="B66" s="262" t="s">
        <v>119</v>
      </c>
      <c r="C66" s="158" t="s">
        <v>38</v>
      </c>
      <c r="D66" s="158" t="s">
        <v>38</v>
      </c>
      <c r="E66" s="158" t="s">
        <v>38</v>
      </c>
      <c r="F66" s="158" t="s">
        <v>38</v>
      </c>
      <c r="G66" s="76" t="s">
        <v>38</v>
      </c>
      <c r="H66" s="76" t="s">
        <v>38</v>
      </c>
      <c r="I66" s="76" t="s">
        <v>38</v>
      </c>
      <c r="J66" s="77" t="s">
        <v>38</v>
      </c>
      <c r="K66" s="299">
        <f t="shared" si="40"/>
        <v>0</v>
      </c>
      <c r="L66" s="79">
        <v>0</v>
      </c>
      <c r="M66" s="80">
        <f t="shared" si="33"/>
        <v>0</v>
      </c>
      <c r="N66" s="98">
        <v>3.833333333333333</v>
      </c>
      <c r="O66" s="98">
        <v>0</v>
      </c>
      <c r="P66" s="82">
        <f t="shared" si="36"/>
        <v>3.833333333333333</v>
      </c>
      <c r="Q66" s="83">
        <f t="shared" si="38"/>
        <v>0.19166666666666665</v>
      </c>
      <c r="R66" s="84">
        <f t="shared" si="19"/>
        <v>4.0249999999999995</v>
      </c>
      <c r="S66" s="83">
        <f t="shared" si="39"/>
        <v>0.20124999999999998</v>
      </c>
      <c r="T66" s="85">
        <v>0</v>
      </c>
      <c r="U66" s="86">
        <v>34</v>
      </c>
      <c r="V66" s="136">
        <f t="shared" si="41"/>
        <v>34</v>
      </c>
      <c r="W66" s="78">
        <f t="shared" si="12"/>
        <v>17</v>
      </c>
      <c r="X66" s="87">
        <f t="shared" si="21"/>
        <v>0.97142857142857142</v>
      </c>
      <c r="Y66" s="88">
        <f t="shared" si="15"/>
        <v>1.2142857142857142</v>
      </c>
      <c r="Z66" s="100">
        <f t="shared" si="34"/>
        <v>0.19166666666666665</v>
      </c>
      <c r="AA66" s="100">
        <f t="shared" si="35"/>
        <v>0.97142857142857142</v>
      </c>
      <c r="AB66" s="100">
        <f t="shared" si="28"/>
        <v>1.2142857142857142</v>
      </c>
      <c r="AC66" s="145">
        <v>3</v>
      </c>
      <c r="AD66" s="128" t="s">
        <v>38</v>
      </c>
      <c r="AE66" s="94" t="s">
        <v>38</v>
      </c>
      <c r="AF66" s="94" t="s">
        <v>38</v>
      </c>
      <c r="AG66" s="94" t="s">
        <v>38</v>
      </c>
      <c r="AH66" s="94" t="s">
        <v>38</v>
      </c>
      <c r="AI66" s="94" t="s">
        <v>38</v>
      </c>
      <c r="AJ66" s="147" t="s">
        <v>38</v>
      </c>
      <c r="AK66" s="147" t="s">
        <v>38</v>
      </c>
      <c r="AL66" s="147" t="s">
        <v>38</v>
      </c>
      <c r="AM66" s="147" t="s">
        <v>38</v>
      </c>
      <c r="AN66" s="147" t="s">
        <v>38</v>
      </c>
      <c r="AO66" s="146" t="s">
        <v>138</v>
      </c>
      <c r="AP66" s="63"/>
    </row>
    <row r="67" spans="1:42" ht="21.75" customHeight="1" x14ac:dyDescent="0.2">
      <c r="A67" s="343"/>
      <c r="B67" s="263" t="s">
        <v>120</v>
      </c>
      <c r="C67" s="158" t="s">
        <v>38</v>
      </c>
      <c r="D67" s="158">
        <v>1</v>
      </c>
      <c r="E67" s="158">
        <v>2</v>
      </c>
      <c r="F67" s="158">
        <v>1</v>
      </c>
      <c r="G67" s="76" t="s">
        <v>38</v>
      </c>
      <c r="H67" s="76" t="s">
        <v>38</v>
      </c>
      <c r="I67" s="76">
        <v>1</v>
      </c>
      <c r="J67" s="77">
        <v>1</v>
      </c>
      <c r="K67" s="299">
        <f t="shared" si="40"/>
        <v>6</v>
      </c>
      <c r="L67" s="79">
        <v>0</v>
      </c>
      <c r="M67" s="80">
        <f t="shared" si="33"/>
        <v>6</v>
      </c>
      <c r="N67" s="98">
        <v>131.08333333333334</v>
      </c>
      <c r="O67" s="98">
        <v>0</v>
      </c>
      <c r="P67" s="82">
        <f t="shared" si="36"/>
        <v>131.08333333333334</v>
      </c>
      <c r="Q67" s="83">
        <f t="shared" si="38"/>
        <v>6.5541666666666671</v>
      </c>
      <c r="R67" s="84">
        <f t="shared" si="19"/>
        <v>137.63750000000002</v>
      </c>
      <c r="S67" s="83">
        <f t="shared" si="39"/>
        <v>6.8818750000000009</v>
      </c>
      <c r="T67" s="103">
        <v>149</v>
      </c>
      <c r="U67" s="85">
        <v>0</v>
      </c>
      <c r="V67" s="136">
        <f t="shared" si="41"/>
        <v>149</v>
      </c>
      <c r="W67" s="78">
        <f t="shared" si="12"/>
        <v>74.5</v>
      </c>
      <c r="X67" s="87">
        <f t="shared" si="21"/>
        <v>4.2571428571428571</v>
      </c>
      <c r="Y67" s="88">
        <f t="shared" si="15"/>
        <v>5.3214285714285712</v>
      </c>
      <c r="Z67" s="89">
        <f t="shared" si="34"/>
        <v>0.55416666666666714</v>
      </c>
      <c r="AA67" s="89">
        <f t="shared" si="35"/>
        <v>-1.7428571428571429</v>
      </c>
      <c r="AB67" s="89">
        <f t="shared" si="28"/>
        <v>-0.67857142857142883</v>
      </c>
      <c r="AC67" s="145">
        <v>5</v>
      </c>
      <c r="AD67" s="128" t="s">
        <v>38</v>
      </c>
      <c r="AE67" s="94">
        <v>1</v>
      </c>
      <c r="AF67" s="94">
        <v>1</v>
      </c>
      <c r="AG67" s="94" t="s">
        <v>38</v>
      </c>
      <c r="AH67" s="94" t="s">
        <v>38</v>
      </c>
      <c r="AI67" s="94" t="s">
        <v>38</v>
      </c>
      <c r="AJ67" s="147" t="s">
        <v>38</v>
      </c>
      <c r="AK67" s="147" t="s">
        <v>38</v>
      </c>
      <c r="AL67" s="147" t="s">
        <v>38</v>
      </c>
      <c r="AM67" s="147" t="s">
        <v>38</v>
      </c>
      <c r="AN67" s="147" t="s">
        <v>38</v>
      </c>
      <c r="AO67" s="146" t="s">
        <v>139</v>
      </c>
      <c r="AP67" s="63"/>
    </row>
    <row r="68" spans="1:42" ht="21.75" customHeight="1" x14ac:dyDescent="0.2">
      <c r="A68" s="316" t="s">
        <v>270</v>
      </c>
      <c r="B68" s="263" t="s">
        <v>27</v>
      </c>
      <c r="C68" s="158" t="s">
        <v>38</v>
      </c>
      <c r="D68" s="158">
        <v>1</v>
      </c>
      <c r="E68" s="158">
        <v>2</v>
      </c>
      <c r="F68" s="158">
        <v>1</v>
      </c>
      <c r="G68" s="301" t="s">
        <v>38</v>
      </c>
      <c r="H68" s="301" t="s">
        <v>38</v>
      </c>
      <c r="I68" s="301">
        <v>1</v>
      </c>
      <c r="J68" s="302">
        <v>3</v>
      </c>
      <c r="K68" s="299">
        <f t="shared" si="40"/>
        <v>8</v>
      </c>
      <c r="L68" s="79">
        <v>0</v>
      </c>
      <c r="M68" s="303">
        <f t="shared" si="33"/>
        <v>8</v>
      </c>
      <c r="N68" s="98">
        <v>58.194444444444443</v>
      </c>
      <c r="O68" s="98">
        <v>0</v>
      </c>
      <c r="P68" s="82">
        <f t="shared" si="36"/>
        <v>58.194444444444443</v>
      </c>
      <c r="Q68" s="83">
        <f t="shared" si="38"/>
        <v>2.9097222222222223</v>
      </c>
      <c r="R68" s="84">
        <f t="shared" si="19"/>
        <v>61.104166666666664</v>
      </c>
      <c r="S68" s="83">
        <f t="shared" si="39"/>
        <v>3.0552083333333333</v>
      </c>
      <c r="T68" s="103">
        <v>108</v>
      </c>
      <c r="U68" s="85">
        <v>0</v>
      </c>
      <c r="V68" s="136">
        <f t="shared" si="41"/>
        <v>108</v>
      </c>
      <c r="W68" s="78">
        <f t="shared" si="12"/>
        <v>54</v>
      </c>
      <c r="X68" s="87">
        <f t="shared" si="21"/>
        <v>3.0857142857142859</v>
      </c>
      <c r="Y68" s="88">
        <f t="shared" si="15"/>
        <v>3.8571428571428572</v>
      </c>
      <c r="Z68" s="89">
        <f t="shared" si="34"/>
        <v>-5.0902777777777777</v>
      </c>
      <c r="AA68" s="89">
        <f t="shared" si="35"/>
        <v>-4.9142857142857146</v>
      </c>
      <c r="AB68" s="89">
        <f t="shared" si="28"/>
        <v>-4.1428571428571423</v>
      </c>
      <c r="AC68" s="145">
        <v>5</v>
      </c>
      <c r="AD68" s="128" t="s">
        <v>38</v>
      </c>
      <c r="AE68" s="94" t="s">
        <v>38</v>
      </c>
      <c r="AF68" s="94" t="s">
        <v>38</v>
      </c>
      <c r="AG68" s="94" t="s">
        <v>38</v>
      </c>
      <c r="AH68" s="94" t="s">
        <v>38</v>
      </c>
      <c r="AI68" s="94" t="s">
        <v>38</v>
      </c>
      <c r="AJ68" s="147" t="s">
        <v>38</v>
      </c>
      <c r="AK68" s="147" t="s">
        <v>38</v>
      </c>
      <c r="AL68" s="147" t="s">
        <v>38</v>
      </c>
      <c r="AM68" s="147" t="s">
        <v>38</v>
      </c>
      <c r="AN68" s="147" t="s">
        <v>38</v>
      </c>
      <c r="AO68" s="146"/>
      <c r="AP68" s="63"/>
    </row>
    <row r="69" spans="1:42" ht="21.75" customHeight="1" x14ac:dyDescent="0.2">
      <c r="A69" s="316" t="s">
        <v>271</v>
      </c>
      <c r="B69" s="263" t="s">
        <v>27</v>
      </c>
      <c r="C69" s="158" t="s">
        <v>38</v>
      </c>
      <c r="D69" s="158" t="s">
        <v>38</v>
      </c>
      <c r="E69" s="158" t="s">
        <v>38</v>
      </c>
      <c r="F69" s="158" t="s">
        <v>38</v>
      </c>
      <c r="G69" s="76" t="s">
        <v>38</v>
      </c>
      <c r="H69" s="76" t="s">
        <v>38</v>
      </c>
      <c r="I69" s="76">
        <v>3</v>
      </c>
      <c r="J69" s="77">
        <v>5</v>
      </c>
      <c r="K69" s="299">
        <f t="shared" si="40"/>
        <v>8</v>
      </c>
      <c r="L69" s="79">
        <v>2</v>
      </c>
      <c r="M69" s="80">
        <f t="shared" si="33"/>
        <v>6</v>
      </c>
      <c r="N69" s="98">
        <v>310.67</v>
      </c>
      <c r="O69" s="98">
        <v>0</v>
      </c>
      <c r="P69" s="82">
        <f t="shared" si="36"/>
        <v>310.67</v>
      </c>
      <c r="Q69" s="83">
        <f t="shared" si="38"/>
        <v>15.5335</v>
      </c>
      <c r="R69" s="84">
        <f t="shared" si="19"/>
        <v>326.20350000000002</v>
      </c>
      <c r="S69" s="83">
        <f t="shared" si="39"/>
        <v>16.310175000000001</v>
      </c>
      <c r="T69" s="103">
        <v>261</v>
      </c>
      <c r="U69" s="85">
        <v>0</v>
      </c>
      <c r="V69" s="136">
        <f t="shared" si="41"/>
        <v>261</v>
      </c>
      <c r="W69" s="78">
        <f t="shared" si="12"/>
        <v>130.5</v>
      </c>
      <c r="X69" s="87">
        <f t="shared" si="21"/>
        <v>7.4571428571428573</v>
      </c>
      <c r="Y69" s="88">
        <f t="shared" si="15"/>
        <v>9.3214285714285712</v>
      </c>
      <c r="Z69" s="89">
        <f t="shared" si="34"/>
        <v>9.5335000000000001</v>
      </c>
      <c r="AA69" s="89">
        <f t="shared" si="35"/>
        <v>1.4571428571428573</v>
      </c>
      <c r="AB69" s="89">
        <f t="shared" si="28"/>
        <v>3.3214285714285712</v>
      </c>
      <c r="AC69" s="145">
        <v>5</v>
      </c>
      <c r="AD69" s="128" t="s">
        <v>38</v>
      </c>
      <c r="AE69" s="94" t="s">
        <v>38</v>
      </c>
      <c r="AF69" s="94" t="s">
        <v>38</v>
      </c>
      <c r="AG69" s="94" t="s">
        <v>38</v>
      </c>
      <c r="AH69" s="94" t="s">
        <v>38</v>
      </c>
      <c r="AI69" s="94" t="s">
        <v>38</v>
      </c>
      <c r="AJ69" s="147" t="s">
        <v>38</v>
      </c>
      <c r="AK69" s="147" t="s">
        <v>38</v>
      </c>
      <c r="AL69" s="147" t="s">
        <v>38</v>
      </c>
      <c r="AM69" s="147" t="s">
        <v>38</v>
      </c>
      <c r="AN69" s="147" t="s">
        <v>38</v>
      </c>
      <c r="AO69" s="146"/>
      <c r="AP69" s="63"/>
    </row>
    <row r="70" spans="1:42" ht="21.75" customHeight="1" x14ac:dyDescent="0.2">
      <c r="A70" s="316" t="s">
        <v>272</v>
      </c>
      <c r="B70" s="263" t="s">
        <v>21</v>
      </c>
      <c r="C70" s="158" t="s">
        <v>38</v>
      </c>
      <c r="D70" s="158" t="s">
        <v>38</v>
      </c>
      <c r="E70" s="158">
        <v>2</v>
      </c>
      <c r="F70" s="158">
        <v>1</v>
      </c>
      <c r="G70" s="301" t="s">
        <v>38</v>
      </c>
      <c r="H70" s="301" t="s">
        <v>38</v>
      </c>
      <c r="I70" s="301" t="s">
        <v>38</v>
      </c>
      <c r="J70" s="302">
        <v>5</v>
      </c>
      <c r="K70" s="304">
        <f>SUM(D70:J70)</f>
        <v>8</v>
      </c>
      <c r="L70" s="305">
        <v>0</v>
      </c>
      <c r="M70" s="306">
        <f t="shared" si="33"/>
        <v>8</v>
      </c>
      <c r="N70" s="98">
        <v>183.88888888888889</v>
      </c>
      <c r="O70" s="98">
        <v>0</v>
      </c>
      <c r="P70" s="82">
        <f t="shared" si="36"/>
        <v>183.88888888888889</v>
      </c>
      <c r="Q70" s="83">
        <f>P70/30</f>
        <v>6.1296296296296298</v>
      </c>
      <c r="R70" s="84">
        <f t="shared" si="19"/>
        <v>193.08333333333334</v>
      </c>
      <c r="S70" s="83">
        <f>R70/30</f>
        <v>6.4361111111111118</v>
      </c>
      <c r="T70" s="103">
        <v>172</v>
      </c>
      <c r="U70" s="85">
        <v>0</v>
      </c>
      <c r="V70" s="136">
        <f t="shared" si="41"/>
        <v>172</v>
      </c>
      <c r="W70" s="78">
        <f t="shared" si="12"/>
        <v>86</v>
      </c>
      <c r="X70" s="87">
        <f t="shared" si="21"/>
        <v>4.9142857142857146</v>
      </c>
      <c r="Y70" s="88">
        <f t="shared" si="15"/>
        <v>6.1428571428571432</v>
      </c>
      <c r="Z70" s="89">
        <f t="shared" si="34"/>
        <v>-1.8703703703703702</v>
      </c>
      <c r="AA70" s="89">
        <f t="shared" si="35"/>
        <v>-3.0857142857142854</v>
      </c>
      <c r="AB70" s="89">
        <f t="shared" si="28"/>
        <v>-1.8571428571428568</v>
      </c>
      <c r="AC70" s="145">
        <v>5</v>
      </c>
      <c r="AD70" s="128" t="s">
        <v>38</v>
      </c>
      <c r="AE70" s="94" t="s">
        <v>38</v>
      </c>
      <c r="AF70" s="94" t="s">
        <v>38</v>
      </c>
      <c r="AG70" s="94" t="s">
        <v>38</v>
      </c>
      <c r="AH70" s="146">
        <v>1</v>
      </c>
      <c r="AI70" s="94" t="s">
        <v>38</v>
      </c>
      <c r="AJ70" s="147" t="s">
        <v>38</v>
      </c>
      <c r="AK70" s="147" t="s">
        <v>38</v>
      </c>
      <c r="AL70" s="147" t="s">
        <v>38</v>
      </c>
      <c r="AM70" s="147" t="s">
        <v>38</v>
      </c>
      <c r="AN70" s="147" t="s">
        <v>38</v>
      </c>
      <c r="AO70" s="146" t="s">
        <v>140</v>
      </c>
      <c r="AP70" s="63"/>
    </row>
    <row r="71" spans="1:42" ht="21.75" customHeight="1" x14ac:dyDescent="0.2">
      <c r="A71" s="316" t="s">
        <v>273</v>
      </c>
      <c r="B71" s="263" t="s">
        <v>27</v>
      </c>
      <c r="C71" s="158" t="s">
        <v>38</v>
      </c>
      <c r="D71" s="158" t="s">
        <v>38</v>
      </c>
      <c r="E71" s="158" t="s">
        <v>38</v>
      </c>
      <c r="F71" s="158" t="s">
        <v>38</v>
      </c>
      <c r="G71" s="301" t="s">
        <v>38</v>
      </c>
      <c r="H71" s="301" t="s">
        <v>38</v>
      </c>
      <c r="I71" s="301">
        <v>3</v>
      </c>
      <c r="J71" s="302">
        <v>4</v>
      </c>
      <c r="K71" s="299">
        <f>SUM(D71:J71)</f>
        <v>7</v>
      </c>
      <c r="L71" s="307">
        <v>0</v>
      </c>
      <c r="M71" s="303">
        <f t="shared" si="33"/>
        <v>7</v>
      </c>
      <c r="N71" s="98">
        <v>28.694444444444443</v>
      </c>
      <c r="O71" s="98">
        <v>0</v>
      </c>
      <c r="P71" s="82">
        <f t="shared" si="36"/>
        <v>28.694444444444443</v>
      </c>
      <c r="Q71" s="83">
        <f>P71/20</f>
        <v>1.4347222222222222</v>
      </c>
      <c r="R71" s="84">
        <f t="shared" si="19"/>
        <v>30.129166666666666</v>
      </c>
      <c r="S71" s="83">
        <f>R71/20</f>
        <v>1.5064583333333332</v>
      </c>
      <c r="T71" s="103">
        <v>149</v>
      </c>
      <c r="U71" s="85">
        <v>0</v>
      </c>
      <c r="V71" s="136">
        <f t="shared" si="41"/>
        <v>149</v>
      </c>
      <c r="W71" s="78">
        <f t="shared" si="12"/>
        <v>74.5</v>
      </c>
      <c r="X71" s="87">
        <f t="shared" si="21"/>
        <v>4.2571428571428571</v>
      </c>
      <c r="Y71" s="88">
        <f t="shared" si="15"/>
        <v>5.3214285714285712</v>
      </c>
      <c r="Z71" s="89">
        <f t="shared" si="34"/>
        <v>-5.5652777777777782</v>
      </c>
      <c r="AA71" s="89">
        <f t="shared" si="35"/>
        <v>-2.7428571428571429</v>
      </c>
      <c r="AB71" s="89">
        <f t="shared" si="28"/>
        <v>-1.6785714285714288</v>
      </c>
      <c r="AC71" s="145">
        <v>5</v>
      </c>
      <c r="AD71" s="128" t="s">
        <v>38</v>
      </c>
      <c r="AE71" s="94" t="s">
        <v>38</v>
      </c>
      <c r="AF71" s="94" t="s">
        <v>38</v>
      </c>
      <c r="AG71" s="94" t="s">
        <v>38</v>
      </c>
      <c r="AH71" s="94" t="s">
        <v>38</v>
      </c>
      <c r="AI71" s="94" t="s">
        <v>38</v>
      </c>
      <c r="AJ71" s="147" t="s">
        <v>38</v>
      </c>
      <c r="AK71" s="147" t="s">
        <v>38</v>
      </c>
      <c r="AL71" s="147" t="s">
        <v>38</v>
      </c>
      <c r="AM71" s="147" t="s">
        <v>38</v>
      </c>
      <c r="AN71" s="147" t="s">
        <v>38</v>
      </c>
      <c r="AO71" s="146"/>
      <c r="AP71" s="63"/>
    </row>
    <row r="72" spans="1:42" ht="21.75" customHeight="1" x14ac:dyDescent="0.2">
      <c r="A72" s="316" t="s">
        <v>274</v>
      </c>
      <c r="B72" s="263" t="s">
        <v>27</v>
      </c>
      <c r="C72" s="158" t="s">
        <v>38</v>
      </c>
      <c r="D72" s="158" t="s">
        <v>38</v>
      </c>
      <c r="E72" s="158">
        <v>1</v>
      </c>
      <c r="F72" s="158" t="s">
        <v>38</v>
      </c>
      <c r="G72" s="76" t="s">
        <v>38</v>
      </c>
      <c r="H72" s="76" t="s">
        <v>38</v>
      </c>
      <c r="I72" s="76">
        <v>2</v>
      </c>
      <c r="J72" s="77">
        <v>2</v>
      </c>
      <c r="K72" s="299">
        <f t="shared" si="40"/>
        <v>5</v>
      </c>
      <c r="L72" s="79">
        <v>0</v>
      </c>
      <c r="M72" s="124">
        <f t="shared" si="33"/>
        <v>5</v>
      </c>
      <c r="N72" s="81">
        <v>50.833333333333336</v>
      </c>
      <c r="O72" s="81">
        <v>0</v>
      </c>
      <c r="P72" s="82">
        <f t="shared" si="36"/>
        <v>50.833333333333336</v>
      </c>
      <c r="Q72" s="83">
        <f>P72/20</f>
        <v>2.541666666666667</v>
      </c>
      <c r="R72" s="84">
        <f t="shared" si="19"/>
        <v>53.375</v>
      </c>
      <c r="S72" s="83">
        <f>R72/20</f>
        <v>2.6687500000000002</v>
      </c>
      <c r="T72" s="125">
        <v>114</v>
      </c>
      <c r="U72" s="85">
        <v>0</v>
      </c>
      <c r="V72" s="136">
        <f t="shared" si="41"/>
        <v>114</v>
      </c>
      <c r="W72" s="78">
        <f t="shared" si="12"/>
        <v>57</v>
      </c>
      <c r="X72" s="87">
        <f t="shared" si="21"/>
        <v>3.2571428571428571</v>
      </c>
      <c r="Y72" s="88">
        <f t="shared" si="15"/>
        <v>4.0714285714285712</v>
      </c>
      <c r="Z72" s="89">
        <f t="shared" si="34"/>
        <v>-2.458333333333333</v>
      </c>
      <c r="AA72" s="89">
        <f t="shared" si="35"/>
        <v>-1.7428571428571429</v>
      </c>
      <c r="AB72" s="89">
        <f t="shared" si="28"/>
        <v>-0.92857142857142883</v>
      </c>
      <c r="AC72" s="145">
        <v>5</v>
      </c>
      <c r="AD72" s="128" t="s">
        <v>38</v>
      </c>
      <c r="AE72" s="94" t="s">
        <v>38</v>
      </c>
      <c r="AF72" s="94" t="s">
        <v>38</v>
      </c>
      <c r="AG72" s="94" t="s">
        <v>38</v>
      </c>
      <c r="AH72" s="94" t="s">
        <v>38</v>
      </c>
      <c r="AI72" s="94" t="s">
        <v>38</v>
      </c>
      <c r="AJ72" s="147" t="s">
        <v>38</v>
      </c>
      <c r="AK72" s="147" t="s">
        <v>38</v>
      </c>
      <c r="AL72" s="147" t="s">
        <v>38</v>
      </c>
      <c r="AM72" s="147" t="s">
        <v>38</v>
      </c>
      <c r="AN72" s="147" t="s">
        <v>38</v>
      </c>
      <c r="AO72" s="146"/>
      <c r="AP72" s="63"/>
    </row>
    <row r="73" spans="1:42" s="18" customFormat="1" ht="21.75" customHeight="1" x14ac:dyDescent="0.55000000000000004">
      <c r="A73" s="176" t="s">
        <v>85</v>
      </c>
      <c r="B73" s="267"/>
      <c r="C73" s="149">
        <f t="shared" ref="C73:Q73" si="42">SUM(C74:C89)</f>
        <v>0</v>
      </c>
      <c r="D73" s="149">
        <f t="shared" si="42"/>
        <v>6</v>
      </c>
      <c r="E73" s="149">
        <f t="shared" si="42"/>
        <v>12</v>
      </c>
      <c r="F73" s="149">
        <f t="shared" si="42"/>
        <v>15</v>
      </c>
      <c r="G73" s="149">
        <f t="shared" si="42"/>
        <v>0</v>
      </c>
      <c r="H73" s="149">
        <f t="shared" si="42"/>
        <v>1</v>
      </c>
      <c r="I73" s="149">
        <f t="shared" si="42"/>
        <v>18</v>
      </c>
      <c r="J73" s="149">
        <f t="shared" si="42"/>
        <v>46</v>
      </c>
      <c r="K73" s="149">
        <f t="shared" si="42"/>
        <v>98</v>
      </c>
      <c r="L73" s="149">
        <f t="shared" si="42"/>
        <v>1</v>
      </c>
      <c r="M73" s="149">
        <f t="shared" si="42"/>
        <v>97</v>
      </c>
      <c r="N73" s="149">
        <f t="shared" si="42"/>
        <v>2642.9455555555555</v>
      </c>
      <c r="O73" s="149">
        <f t="shared" si="42"/>
        <v>44.555999999999941</v>
      </c>
      <c r="P73" s="67">
        <f t="shared" si="42"/>
        <v>2687.5015555555556</v>
      </c>
      <c r="Q73" s="66">
        <f t="shared" si="42"/>
        <v>107.50006222222223</v>
      </c>
      <c r="R73" s="152">
        <f t="shared" si="19"/>
        <v>2821.8766333333333</v>
      </c>
      <c r="S73" s="66">
        <f>SUM(S74:S89)</f>
        <v>112.87506533333334</v>
      </c>
      <c r="T73" s="256">
        <f>SUM(T74:T89)</f>
        <v>2738</v>
      </c>
      <c r="U73" s="256">
        <f>SUM(U74:U89)</f>
        <v>55</v>
      </c>
      <c r="V73" s="257">
        <f t="shared" si="41"/>
        <v>2793</v>
      </c>
      <c r="W73" s="256">
        <f t="shared" si="12"/>
        <v>1396.5</v>
      </c>
      <c r="X73" s="65">
        <f>SUM(X74:X89)</f>
        <v>79.8</v>
      </c>
      <c r="Y73" s="155">
        <f t="shared" si="15"/>
        <v>99.75</v>
      </c>
      <c r="Z73" s="69">
        <f>SUM(Z74:Z89)</f>
        <v>10.50006222222223</v>
      </c>
      <c r="AA73" s="69">
        <f>SUM(AA74:AA89)</f>
        <v>-17.2</v>
      </c>
      <c r="AB73" s="69">
        <f t="shared" si="28"/>
        <v>2.75</v>
      </c>
      <c r="AC73" s="66">
        <f>SUM(AC74:AC89)</f>
        <v>74</v>
      </c>
      <c r="AD73" s="65">
        <v>0</v>
      </c>
      <c r="AE73" s="150">
        <f t="shared" ref="AE73:AN73" si="43">SUM(AE74:AE89)</f>
        <v>4</v>
      </c>
      <c r="AF73" s="150">
        <f t="shared" si="43"/>
        <v>0</v>
      </c>
      <c r="AG73" s="150">
        <f t="shared" si="43"/>
        <v>2</v>
      </c>
      <c r="AH73" s="150">
        <f t="shared" si="43"/>
        <v>0</v>
      </c>
      <c r="AI73" s="150">
        <f t="shared" si="43"/>
        <v>2</v>
      </c>
      <c r="AJ73" s="65">
        <f t="shared" si="43"/>
        <v>0</v>
      </c>
      <c r="AK73" s="65">
        <f t="shared" si="43"/>
        <v>0</v>
      </c>
      <c r="AL73" s="65">
        <f t="shared" si="43"/>
        <v>0</v>
      </c>
      <c r="AM73" s="65">
        <f t="shared" si="43"/>
        <v>0</v>
      </c>
      <c r="AN73" s="65">
        <f t="shared" si="43"/>
        <v>0</v>
      </c>
      <c r="AO73" s="156"/>
      <c r="AP73" s="72"/>
    </row>
    <row r="74" spans="1:42" ht="21.75" customHeight="1" x14ac:dyDescent="0.55000000000000004">
      <c r="A74" s="177" t="s">
        <v>86</v>
      </c>
      <c r="B74" s="268" t="s">
        <v>33</v>
      </c>
      <c r="C74" s="158" t="s">
        <v>38</v>
      </c>
      <c r="D74" s="75">
        <v>1</v>
      </c>
      <c r="E74" s="75">
        <v>2</v>
      </c>
      <c r="F74" s="75">
        <v>1</v>
      </c>
      <c r="G74" s="76" t="s">
        <v>38</v>
      </c>
      <c r="H74" s="76" t="s">
        <v>38</v>
      </c>
      <c r="I74" s="76">
        <v>3</v>
      </c>
      <c r="J74" s="77">
        <v>4</v>
      </c>
      <c r="K74" s="78">
        <f>SUM(C74:J74)</f>
        <v>11</v>
      </c>
      <c r="L74" s="79">
        <v>0</v>
      </c>
      <c r="M74" s="218">
        <f>K74-L74</f>
        <v>11</v>
      </c>
      <c r="N74" s="81">
        <v>308.33</v>
      </c>
      <c r="O74" s="81">
        <v>0</v>
      </c>
      <c r="P74" s="82">
        <f>SUM(N74:O74)</f>
        <v>308.33</v>
      </c>
      <c r="Q74" s="83">
        <f t="shared" ref="Q74:Q89" si="44">P74/25</f>
        <v>12.3332</v>
      </c>
      <c r="R74" s="84">
        <f t="shared" si="19"/>
        <v>323.74649999999997</v>
      </c>
      <c r="S74" s="83">
        <f t="shared" ref="S74:S89" si="45">R74/25</f>
        <v>12.949859999999999</v>
      </c>
      <c r="T74" s="125">
        <v>318</v>
      </c>
      <c r="U74" s="85">
        <v>0</v>
      </c>
      <c r="V74" s="136">
        <f t="shared" si="41"/>
        <v>318</v>
      </c>
      <c r="W74" s="78">
        <f t="shared" ref="W74:W107" si="46">V74/2</f>
        <v>159</v>
      </c>
      <c r="X74" s="87">
        <f t="shared" ref="X74:X107" si="47">V74/35</f>
        <v>9.0857142857142854</v>
      </c>
      <c r="Y74" s="88">
        <f t="shared" ref="Y74:Y107" si="48">W74/14</f>
        <v>11.357142857142858</v>
      </c>
      <c r="Z74" s="89">
        <f t="shared" ref="Z74:Z99" si="49">Q74-M74</f>
        <v>1.3331999999999997</v>
      </c>
      <c r="AA74" s="89">
        <f t="shared" ref="AA74:AA99" si="50">X74-M74</f>
        <v>-1.9142857142857146</v>
      </c>
      <c r="AB74" s="89">
        <f t="shared" si="28"/>
        <v>0.35714285714285765</v>
      </c>
      <c r="AC74" s="145">
        <v>5</v>
      </c>
      <c r="AD74" s="128" t="s">
        <v>38</v>
      </c>
      <c r="AE74" s="94" t="s">
        <v>38</v>
      </c>
      <c r="AF74" s="94" t="s">
        <v>38</v>
      </c>
      <c r="AG74" s="94" t="s">
        <v>38</v>
      </c>
      <c r="AH74" s="94" t="s">
        <v>38</v>
      </c>
      <c r="AI74" s="146">
        <v>1</v>
      </c>
      <c r="AJ74" s="147" t="s">
        <v>38</v>
      </c>
      <c r="AK74" s="147" t="s">
        <v>38</v>
      </c>
      <c r="AL74" s="147" t="s">
        <v>38</v>
      </c>
      <c r="AM74" s="147" t="s">
        <v>38</v>
      </c>
      <c r="AN74" s="147" t="s">
        <v>38</v>
      </c>
      <c r="AO74" s="146" t="s">
        <v>140</v>
      </c>
      <c r="AP74" s="63"/>
    </row>
    <row r="75" spans="1:42" ht="21.75" customHeight="1" x14ac:dyDescent="0.55000000000000004">
      <c r="A75" s="177" t="s">
        <v>87</v>
      </c>
      <c r="B75" s="268" t="s">
        <v>31</v>
      </c>
      <c r="C75" s="158" t="s">
        <v>38</v>
      </c>
      <c r="D75" s="75" t="s">
        <v>38</v>
      </c>
      <c r="E75" s="75">
        <v>2</v>
      </c>
      <c r="F75" s="75">
        <v>3</v>
      </c>
      <c r="G75" s="76" t="s">
        <v>38</v>
      </c>
      <c r="H75" s="76" t="s">
        <v>38</v>
      </c>
      <c r="I75" s="76">
        <v>1</v>
      </c>
      <c r="J75" s="77">
        <v>3</v>
      </c>
      <c r="K75" s="78">
        <f t="shared" ref="K75:K89" si="51">SUM(C75:J75)</f>
        <v>9</v>
      </c>
      <c r="L75" s="79">
        <v>0</v>
      </c>
      <c r="M75" s="218">
        <f t="shared" ref="M75:M89" si="52">K75-L75</f>
        <v>9</v>
      </c>
      <c r="N75" s="98">
        <v>232.28</v>
      </c>
      <c r="O75" s="81">
        <v>0</v>
      </c>
      <c r="P75" s="82">
        <f>SUM(N75:O75)</f>
        <v>232.28</v>
      </c>
      <c r="Q75" s="83">
        <f t="shared" si="44"/>
        <v>9.2911999999999999</v>
      </c>
      <c r="R75" s="84">
        <f t="shared" si="19"/>
        <v>243.89400000000001</v>
      </c>
      <c r="S75" s="83">
        <f t="shared" si="45"/>
        <v>9.7557600000000004</v>
      </c>
      <c r="T75" s="125">
        <v>193</v>
      </c>
      <c r="U75" s="85">
        <v>0</v>
      </c>
      <c r="V75" s="136">
        <f t="shared" si="41"/>
        <v>193</v>
      </c>
      <c r="W75" s="78">
        <f t="shared" si="46"/>
        <v>96.5</v>
      </c>
      <c r="X75" s="87">
        <f t="shared" si="47"/>
        <v>5.5142857142857142</v>
      </c>
      <c r="Y75" s="88">
        <f t="shared" si="48"/>
        <v>6.8928571428571432</v>
      </c>
      <c r="Z75" s="89">
        <f t="shared" si="49"/>
        <v>0.2911999999999999</v>
      </c>
      <c r="AA75" s="89">
        <f t="shared" si="50"/>
        <v>-3.4857142857142858</v>
      </c>
      <c r="AB75" s="89">
        <f t="shared" si="28"/>
        <v>-2.1071428571428568</v>
      </c>
      <c r="AC75" s="145">
        <v>5</v>
      </c>
      <c r="AD75" s="128" t="s">
        <v>38</v>
      </c>
      <c r="AE75" s="94" t="s">
        <v>38</v>
      </c>
      <c r="AF75" s="94" t="s">
        <v>38</v>
      </c>
      <c r="AG75" s="94" t="s">
        <v>38</v>
      </c>
      <c r="AH75" s="94" t="s">
        <v>38</v>
      </c>
      <c r="AI75" s="146">
        <v>1</v>
      </c>
      <c r="AJ75" s="147" t="s">
        <v>38</v>
      </c>
      <c r="AK75" s="147" t="s">
        <v>38</v>
      </c>
      <c r="AL75" s="147" t="s">
        <v>38</v>
      </c>
      <c r="AM75" s="147" t="s">
        <v>38</v>
      </c>
      <c r="AN75" s="147" t="s">
        <v>38</v>
      </c>
      <c r="AO75" s="146" t="s">
        <v>140</v>
      </c>
      <c r="AP75" s="63"/>
    </row>
    <row r="76" spans="1:42" ht="21.75" customHeight="1" x14ac:dyDescent="0.55000000000000004">
      <c r="A76" s="177" t="s">
        <v>226</v>
      </c>
      <c r="B76" s="268" t="s">
        <v>31</v>
      </c>
      <c r="C76" s="158" t="s">
        <v>38</v>
      </c>
      <c r="D76" s="75" t="s">
        <v>38</v>
      </c>
      <c r="E76" s="75">
        <v>1</v>
      </c>
      <c r="F76" s="75">
        <v>1</v>
      </c>
      <c r="G76" s="76" t="s">
        <v>38</v>
      </c>
      <c r="H76" s="76" t="s">
        <v>38</v>
      </c>
      <c r="I76" s="76" t="s">
        <v>38</v>
      </c>
      <c r="J76" s="77">
        <v>4</v>
      </c>
      <c r="K76" s="78">
        <f t="shared" si="51"/>
        <v>6</v>
      </c>
      <c r="L76" s="79">
        <v>0</v>
      </c>
      <c r="M76" s="218">
        <f t="shared" si="52"/>
        <v>6</v>
      </c>
      <c r="N76" s="98">
        <v>213.11</v>
      </c>
      <c r="O76" s="81">
        <v>0</v>
      </c>
      <c r="P76" s="82">
        <f>SUM(N76:O76)</f>
        <v>213.11</v>
      </c>
      <c r="Q76" s="83">
        <f t="shared" si="44"/>
        <v>8.5244</v>
      </c>
      <c r="R76" s="84">
        <f t="shared" si="19"/>
        <v>223.7655</v>
      </c>
      <c r="S76" s="83">
        <f t="shared" si="45"/>
        <v>8.9506200000000007</v>
      </c>
      <c r="T76" s="125">
        <v>154</v>
      </c>
      <c r="U76" s="85">
        <v>0</v>
      </c>
      <c r="V76" s="136">
        <f t="shared" si="41"/>
        <v>154</v>
      </c>
      <c r="W76" s="78">
        <f t="shared" si="46"/>
        <v>77</v>
      </c>
      <c r="X76" s="87">
        <f t="shared" si="47"/>
        <v>4.4000000000000004</v>
      </c>
      <c r="Y76" s="88">
        <f t="shared" si="48"/>
        <v>5.5</v>
      </c>
      <c r="Z76" s="89">
        <f t="shared" si="49"/>
        <v>2.5244</v>
      </c>
      <c r="AA76" s="89">
        <f t="shared" si="50"/>
        <v>-1.5999999999999996</v>
      </c>
      <c r="AB76" s="89">
        <f t="shared" si="28"/>
        <v>-0.5</v>
      </c>
      <c r="AC76" s="145">
        <v>5</v>
      </c>
      <c r="AD76" s="128" t="s">
        <v>38</v>
      </c>
      <c r="AE76" s="94" t="s">
        <v>38</v>
      </c>
      <c r="AF76" s="94" t="s">
        <v>38</v>
      </c>
      <c r="AG76" s="94" t="s">
        <v>38</v>
      </c>
      <c r="AH76" s="94" t="s">
        <v>38</v>
      </c>
      <c r="AI76" s="94" t="s">
        <v>38</v>
      </c>
      <c r="AJ76" s="147" t="s">
        <v>38</v>
      </c>
      <c r="AK76" s="147" t="s">
        <v>38</v>
      </c>
      <c r="AL76" s="147" t="s">
        <v>38</v>
      </c>
      <c r="AM76" s="147" t="s">
        <v>38</v>
      </c>
      <c r="AN76" s="147" t="s">
        <v>38</v>
      </c>
      <c r="AO76" s="146"/>
      <c r="AP76" s="63"/>
    </row>
    <row r="77" spans="1:42" ht="21.75" customHeight="1" x14ac:dyDescent="0.45">
      <c r="A77" s="344" t="s">
        <v>89</v>
      </c>
      <c r="B77" s="268" t="s">
        <v>39</v>
      </c>
      <c r="C77" s="158" t="s">
        <v>38</v>
      </c>
      <c r="D77" s="75" t="s">
        <v>38</v>
      </c>
      <c r="E77" s="75" t="s">
        <v>38</v>
      </c>
      <c r="F77" s="75">
        <v>0</v>
      </c>
      <c r="G77" s="76" t="s">
        <v>38</v>
      </c>
      <c r="H77" s="76" t="s">
        <v>38</v>
      </c>
      <c r="I77" s="76">
        <v>0</v>
      </c>
      <c r="J77" s="77" t="s">
        <v>38</v>
      </c>
      <c r="K77" s="78">
        <f t="shared" si="51"/>
        <v>0</v>
      </c>
      <c r="L77" s="79">
        <v>0</v>
      </c>
      <c r="M77" s="218">
        <f t="shared" si="52"/>
        <v>0</v>
      </c>
      <c r="N77" s="98">
        <v>0</v>
      </c>
      <c r="O77" s="81">
        <f>8.92*1.8</f>
        <v>16.056000000000001</v>
      </c>
      <c r="P77" s="82">
        <f>SUM(N77:O77)</f>
        <v>16.056000000000001</v>
      </c>
      <c r="Q77" s="83">
        <f t="shared" si="44"/>
        <v>0.64224000000000003</v>
      </c>
      <c r="R77" s="84">
        <f t="shared" si="19"/>
        <v>16.858800000000002</v>
      </c>
      <c r="S77" s="83">
        <f t="shared" si="45"/>
        <v>0.67435200000000006</v>
      </c>
      <c r="T77" s="96">
        <v>0</v>
      </c>
      <c r="U77" s="179">
        <v>19</v>
      </c>
      <c r="V77" s="136">
        <f t="shared" si="41"/>
        <v>19</v>
      </c>
      <c r="W77" s="78">
        <f t="shared" si="46"/>
        <v>9.5</v>
      </c>
      <c r="X77" s="87">
        <f t="shared" si="47"/>
        <v>0.54285714285714282</v>
      </c>
      <c r="Y77" s="88">
        <f t="shared" si="48"/>
        <v>0.6785714285714286</v>
      </c>
      <c r="Z77" s="89">
        <f t="shared" si="49"/>
        <v>0.64224000000000003</v>
      </c>
      <c r="AA77" s="89">
        <f t="shared" si="50"/>
        <v>0.54285714285714282</v>
      </c>
      <c r="AB77" s="89">
        <f t="shared" si="28"/>
        <v>0.6785714285714286</v>
      </c>
      <c r="AC77" s="145">
        <v>3</v>
      </c>
      <c r="AD77" s="128" t="s">
        <v>38</v>
      </c>
      <c r="AE77" s="94" t="s">
        <v>38</v>
      </c>
      <c r="AF77" s="94" t="s">
        <v>38</v>
      </c>
      <c r="AG77" s="94" t="s">
        <v>38</v>
      </c>
      <c r="AH77" s="94" t="s">
        <v>38</v>
      </c>
      <c r="AI77" s="94" t="s">
        <v>38</v>
      </c>
      <c r="AJ77" s="147" t="s">
        <v>38</v>
      </c>
      <c r="AK77" s="147" t="s">
        <v>38</v>
      </c>
      <c r="AL77" s="147" t="s">
        <v>38</v>
      </c>
      <c r="AM77" s="147" t="s">
        <v>38</v>
      </c>
      <c r="AN77" s="147" t="s">
        <v>38</v>
      </c>
      <c r="AO77" s="146"/>
      <c r="AP77" s="63"/>
    </row>
    <row r="78" spans="1:42" ht="21.75" customHeight="1" x14ac:dyDescent="0.45">
      <c r="A78" s="344"/>
      <c r="B78" s="269" t="s">
        <v>32</v>
      </c>
      <c r="C78" s="75" t="s">
        <v>38</v>
      </c>
      <c r="D78" s="75" t="s">
        <v>38</v>
      </c>
      <c r="E78" s="75" t="s">
        <v>38</v>
      </c>
      <c r="F78" s="75" t="s">
        <v>38</v>
      </c>
      <c r="G78" s="76" t="s">
        <v>38</v>
      </c>
      <c r="H78" s="76" t="s">
        <v>38</v>
      </c>
      <c r="I78" s="76" t="s">
        <v>38</v>
      </c>
      <c r="J78" s="77" t="s">
        <v>38</v>
      </c>
      <c r="K78" s="78">
        <f t="shared" si="51"/>
        <v>0</v>
      </c>
      <c r="L78" s="79">
        <v>0</v>
      </c>
      <c r="M78" s="218">
        <f t="shared" si="52"/>
        <v>0</v>
      </c>
      <c r="N78" s="181">
        <v>0</v>
      </c>
      <c r="O78" s="98">
        <f>15.8333333333333*1.8</f>
        <v>28.49999999999994</v>
      </c>
      <c r="P78" s="82">
        <f>SUM(O78:O78)</f>
        <v>28.49999999999994</v>
      </c>
      <c r="Q78" s="83">
        <f t="shared" si="44"/>
        <v>1.1399999999999977</v>
      </c>
      <c r="R78" s="84">
        <f t="shared" si="19"/>
        <v>29.924999999999937</v>
      </c>
      <c r="S78" s="83">
        <f t="shared" si="45"/>
        <v>1.1969999999999974</v>
      </c>
      <c r="T78" s="85">
        <v>0</v>
      </c>
      <c r="U78" s="86">
        <v>36</v>
      </c>
      <c r="V78" s="136">
        <f t="shared" si="41"/>
        <v>36</v>
      </c>
      <c r="W78" s="78">
        <f t="shared" si="46"/>
        <v>18</v>
      </c>
      <c r="X78" s="87">
        <f t="shared" si="47"/>
        <v>1.0285714285714285</v>
      </c>
      <c r="Y78" s="88">
        <f t="shared" si="48"/>
        <v>1.2857142857142858</v>
      </c>
      <c r="Z78" s="100">
        <f t="shared" si="49"/>
        <v>1.1399999999999977</v>
      </c>
      <c r="AA78" s="100">
        <f t="shared" si="50"/>
        <v>1.0285714285714285</v>
      </c>
      <c r="AB78" s="100">
        <f t="shared" si="28"/>
        <v>1.2857142857142858</v>
      </c>
      <c r="AC78" s="145">
        <v>3</v>
      </c>
      <c r="AD78" s="128" t="s">
        <v>38</v>
      </c>
      <c r="AE78" s="94" t="s">
        <v>38</v>
      </c>
      <c r="AF78" s="94" t="s">
        <v>38</v>
      </c>
      <c r="AG78" s="94" t="s">
        <v>38</v>
      </c>
      <c r="AH78" s="94" t="s">
        <v>38</v>
      </c>
      <c r="AI78" s="94" t="s">
        <v>38</v>
      </c>
      <c r="AJ78" s="147" t="s">
        <v>38</v>
      </c>
      <c r="AK78" s="147" t="s">
        <v>38</v>
      </c>
      <c r="AL78" s="147" t="s">
        <v>38</v>
      </c>
      <c r="AM78" s="147" t="s">
        <v>38</v>
      </c>
      <c r="AN78" s="147" t="s">
        <v>38</v>
      </c>
      <c r="AO78" s="146" t="s">
        <v>138</v>
      </c>
      <c r="AP78" s="63"/>
    </row>
    <row r="79" spans="1:42" ht="21.75" customHeight="1" x14ac:dyDescent="0.45">
      <c r="A79" s="344"/>
      <c r="B79" s="268" t="s">
        <v>257</v>
      </c>
      <c r="C79" s="75" t="s">
        <v>38</v>
      </c>
      <c r="D79" s="75" t="s">
        <v>38</v>
      </c>
      <c r="E79" s="75">
        <v>1</v>
      </c>
      <c r="F79" s="75">
        <v>1</v>
      </c>
      <c r="G79" s="76" t="s">
        <v>38</v>
      </c>
      <c r="H79" s="76" t="s">
        <v>38</v>
      </c>
      <c r="I79" s="76">
        <v>6</v>
      </c>
      <c r="J79" s="77">
        <v>6</v>
      </c>
      <c r="K79" s="78">
        <f t="shared" si="51"/>
        <v>14</v>
      </c>
      <c r="L79" s="79">
        <v>1</v>
      </c>
      <c r="M79" s="218">
        <f t="shared" si="52"/>
        <v>13</v>
      </c>
      <c r="N79" s="98">
        <v>427.13888888888891</v>
      </c>
      <c r="O79" s="81">
        <v>0</v>
      </c>
      <c r="P79" s="82">
        <f t="shared" ref="P79:P89" si="53">SUM(N79:O79)</f>
        <v>427.13888888888891</v>
      </c>
      <c r="Q79" s="83">
        <f t="shared" si="44"/>
        <v>17.085555555555558</v>
      </c>
      <c r="R79" s="84">
        <f t="shared" si="19"/>
        <v>448.49583333333334</v>
      </c>
      <c r="S79" s="83">
        <f t="shared" si="45"/>
        <v>17.939833333333333</v>
      </c>
      <c r="T79" s="85">
        <f>437+117</f>
        <v>554</v>
      </c>
      <c r="U79" s="125">
        <v>0</v>
      </c>
      <c r="V79" s="136">
        <f t="shared" si="41"/>
        <v>554</v>
      </c>
      <c r="W79" s="78">
        <f t="shared" si="46"/>
        <v>277</v>
      </c>
      <c r="X79" s="87">
        <f t="shared" si="47"/>
        <v>15.828571428571429</v>
      </c>
      <c r="Y79" s="88">
        <f t="shared" si="48"/>
        <v>19.785714285714285</v>
      </c>
      <c r="Z79" s="89">
        <f t="shared" si="49"/>
        <v>4.0855555555555583</v>
      </c>
      <c r="AA79" s="89">
        <f t="shared" si="50"/>
        <v>2.8285714285714292</v>
      </c>
      <c r="AB79" s="89">
        <f t="shared" si="28"/>
        <v>6.7857142857142847</v>
      </c>
      <c r="AC79" s="145">
        <v>5</v>
      </c>
      <c r="AD79" s="128" t="s">
        <v>38</v>
      </c>
      <c r="AE79" s="94">
        <v>2</v>
      </c>
      <c r="AF79" s="94" t="s">
        <v>38</v>
      </c>
      <c r="AG79" s="94" t="s">
        <v>38</v>
      </c>
      <c r="AH79" s="94" t="s">
        <v>38</v>
      </c>
      <c r="AI79" s="94" t="s">
        <v>38</v>
      </c>
      <c r="AJ79" s="147" t="s">
        <v>38</v>
      </c>
      <c r="AK79" s="147" t="s">
        <v>38</v>
      </c>
      <c r="AL79" s="147" t="s">
        <v>38</v>
      </c>
      <c r="AM79" s="147" t="s">
        <v>38</v>
      </c>
      <c r="AN79" s="147" t="s">
        <v>38</v>
      </c>
      <c r="AO79" s="94" t="s">
        <v>132</v>
      </c>
      <c r="AP79" s="63"/>
    </row>
    <row r="80" spans="1:42" ht="21.75" customHeight="1" x14ac:dyDescent="0.45">
      <c r="A80" s="344"/>
      <c r="B80" s="268" t="s">
        <v>258</v>
      </c>
      <c r="C80" s="75" t="s">
        <v>38</v>
      </c>
      <c r="D80" s="75" t="s">
        <v>38</v>
      </c>
      <c r="E80" s="75" t="s">
        <v>38</v>
      </c>
      <c r="F80" s="75" t="s">
        <v>38</v>
      </c>
      <c r="G80" s="76" t="s">
        <v>38</v>
      </c>
      <c r="H80" s="76" t="s">
        <v>38</v>
      </c>
      <c r="I80" s="76">
        <v>1</v>
      </c>
      <c r="J80" s="77">
        <v>2</v>
      </c>
      <c r="K80" s="78">
        <f t="shared" si="51"/>
        <v>3</v>
      </c>
      <c r="L80" s="79">
        <v>0</v>
      </c>
      <c r="M80" s="218">
        <f t="shared" si="52"/>
        <v>3</v>
      </c>
      <c r="N80" s="98">
        <v>246.91666666666666</v>
      </c>
      <c r="O80" s="81">
        <v>0</v>
      </c>
      <c r="P80" s="82">
        <f t="shared" si="53"/>
        <v>246.91666666666666</v>
      </c>
      <c r="Q80" s="83">
        <f t="shared" si="44"/>
        <v>9.8766666666666669</v>
      </c>
      <c r="R80" s="84">
        <f t="shared" si="19"/>
        <v>259.26249999999999</v>
      </c>
      <c r="S80" s="83">
        <f t="shared" si="45"/>
        <v>10.3705</v>
      </c>
      <c r="T80" s="125">
        <v>115</v>
      </c>
      <c r="U80" s="85">
        <v>0</v>
      </c>
      <c r="V80" s="136">
        <f t="shared" si="41"/>
        <v>115</v>
      </c>
      <c r="W80" s="78">
        <f t="shared" si="46"/>
        <v>57.5</v>
      </c>
      <c r="X80" s="87">
        <f t="shared" si="47"/>
        <v>3.2857142857142856</v>
      </c>
      <c r="Y80" s="88">
        <f t="shared" si="48"/>
        <v>4.1071428571428568</v>
      </c>
      <c r="Z80" s="89">
        <f t="shared" si="49"/>
        <v>6.8766666666666669</v>
      </c>
      <c r="AA80" s="89">
        <f t="shared" si="50"/>
        <v>0.28571428571428559</v>
      </c>
      <c r="AB80" s="89">
        <f t="shared" si="28"/>
        <v>1.1071428571428568</v>
      </c>
      <c r="AC80" s="145">
        <v>5</v>
      </c>
      <c r="AD80" s="128" t="s">
        <v>38</v>
      </c>
      <c r="AE80" s="94" t="s">
        <v>38</v>
      </c>
      <c r="AF80" s="94" t="s">
        <v>38</v>
      </c>
      <c r="AG80" s="94" t="s">
        <v>38</v>
      </c>
      <c r="AH80" s="94" t="s">
        <v>38</v>
      </c>
      <c r="AI80" s="94" t="s">
        <v>38</v>
      </c>
      <c r="AJ80" s="147" t="s">
        <v>38</v>
      </c>
      <c r="AK80" s="147" t="s">
        <v>38</v>
      </c>
      <c r="AL80" s="147" t="s">
        <v>38</v>
      </c>
      <c r="AM80" s="147" t="s">
        <v>38</v>
      </c>
      <c r="AN80" s="147" t="s">
        <v>38</v>
      </c>
      <c r="AO80" s="146" t="s">
        <v>134</v>
      </c>
      <c r="AP80" s="63"/>
    </row>
    <row r="81" spans="1:42" ht="21.75" customHeight="1" x14ac:dyDescent="0.45">
      <c r="A81" s="344"/>
      <c r="B81" s="268" t="s">
        <v>259</v>
      </c>
      <c r="C81" s="75" t="s">
        <v>38</v>
      </c>
      <c r="D81" s="75" t="s">
        <v>38</v>
      </c>
      <c r="E81" s="75" t="s">
        <v>38</v>
      </c>
      <c r="F81" s="75">
        <v>1</v>
      </c>
      <c r="G81" s="76" t="s">
        <v>38</v>
      </c>
      <c r="H81" s="76" t="s">
        <v>38</v>
      </c>
      <c r="I81" s="76">
        <v>2</v>
      </c>
      <c r="J81" s="77">
        <v>2</v>
      </c>
      <c r="K81" s="78">
        <f t="shared" si="51"/>
        <v>5</v>
      </c>
      <c r="L81" s="79">
        <v>0</v>
      </c>
      <c r="M81" s="218">
        <f t="shared" si="52"/>
        <v>5</v>
      </c>
      <c r="N81" s="81">
        <v>19.472222222222221</v>
      </c>
      <c r="O81" s="81">
        <v>0</v>
      </c>
      <c r="P81" s="82">
        <f t="shared" si="53"/>
        <v>19.472222222222221</v>
      </c>
      <c r="Q81" s="83">
        <f t="shared" si="44"/>
        <v>0.77888888888888885</v>
      </c>
      <c r="R81" s="84">
        <f t="shared" si="19"/>
        <v>20.445833333333333</v>
      </c>
      <c r="S81" s="83">
        <f t="shared" si="45"/>
        <v>0.8178333333333333</v>
      </c>
      <c r="T81" s="125">
        <v>115</v>
      </c>
      <c r="U81" s="85">
        <v>0</v>
      </c>
      <c r="V81" s="136">
        <f t="shared" si="41"/>
        <v>115</v>
      </c>
      <c r="W81" s="78">
        <f t="shared" si="46"/>
        <v>57.5</v>
      </c>
      <c r="X81" s="87">
        <f t="shared" si="47"/>
        <v>3.2857142857142856</v>
      </c>
      <c r="Y81" s="88">
        <f t="shared" si="48"/>
        <v>4.1071428571428568</v>
      </c>
      <c r="Z81" s="89">
        <f t="shared" si="49"/>
        <v>-4.221111111111111</v>
      </c>
      <c r="AA81" s="89">
        <f t="shared" si="50"/>
        <v>-1.7142857142857144</v>
      </c>
      <c r="AB81" s="89">
        <f t="shared" si="28"/>
        <v>-0.89285714285714324</v>
      </c>
      <c r="AC81" s="145">
        <v>5</v>
      </c>
      <c r="AD81" s="128" t="s">
        <v>38</v>
      </c>
      <c r="AE81" s="94">
        <v>1</v>
      </c>
      <c r="AF81" s="94" t="s">
        <v>38</v>
      </c>
      <c r="AG81" s="94" t="s">
        <v>38</v>
      </c>
      <c r="AH81" s="94" t="s">
        <v>38</v>
      </c>
      <c r="AI81" s="94" t="s">
        <v>38</v>
      </c>
      <c r="AJ81" s="147" t="s">
        <v>38</v>
      </c>
      <c r="AK81" s="147" t="s">
        <v>38</v>
      </c>
      <c r="AL81" s="147" t="s">
        <v>38</v>
      </c>
      <c r="AM81" s="147" t="s">
        <v>38</v>
      </c>
      <c r="AN81" s="147" t="s">
        <v>38</v>
      </c>
      <c r="AO81" s="146" t="s">
        <v>140</v>
      </c>
      <c r="AP81" s="63"/>
    </row>
    <row r="82" spans="1:42" ht="21.75" customHeight="1" x14ac:dyDescent="0.55000000000000004">
      <c r="A82" s="177" t="s">
        <v>90</v>
      </c>
      <c r="B82" s="268" t="s">
        <v>31</v>
      </c>
      <c r="C82" s="158" t="s">
        <v>38</v>
      </c>
      <c r="D82" s="75">
        <v>2</v>
      </c>
      <c r="E82" s="75">
        <v>2</v>
      </c>
      <c r="F82" s="75">
        <v>3</v>
      </c>
      <c r="G82" s="76" t="s">
        <v>38</v>
      </c>
      <c r="H82" s="76" t="s">
        <v>38</v>
      </c>
      <c r="I82" s="76">
        <v>1</v>
      </c>
      <c r="J82" s="77">
        <v>2</v>
      </c>
      <c r="K82" s="78">
        <f t="shared" si="51"/>
        <v>10</v>
      </c>
      <c r="L82" s="79">
        <v>0</v>
      </c>
      <c r="M82" s="218">
        <f t="shared" si="52"/>
        <v>10</v>
      </c>
      <c r="N82" s="81">
        <v>319.22000000000003</v>
      </c>
      <c r="O82" s="81">
        <v>0</v>
      </c>
      <c r="P82" s="82">
        <f t="shared" si="53"/>
        <v>319.22000000000003</v>
      </c>
      <c r="Q82" s="83">
        <f t="shared" si="44"/>
        <v>12.768800000000001</v>
      </c>
      <c r="R82" s="84">
        <f t="shared" si="19"/>
        <v>335.18100000000004</v>
      </c>
      <c r="S82" s="83">
        <f t="shared" si="45"/>
        <v>13.407240000000002</v>
      </c>
      <c r="T82" s="125">
        <v>250</v>
      </c>
      <c r="U82" s="85">
        <v>0</v>
      </c>
      <c r="V82" s="136">
        <f t="shared" si="41"/>
        <v>250</v>
      </c>
      <c r="W82" s="78">
        <f t="shared" si="46"/>
        <v>125</v>
      </c>
      <c r="X82" s="87">
        <f t="shared" si="47"/>
        <v>7.1428571428571432</v>
      </c>
      <c r="Y82" s="88">
        <f t="shared" si="48"/>
        <v>8.9285714285714288</v>
      </c>
      <c r="Z82" s="89">
        <f t="shared" si="49"/>
        <v>2.7688000000000006</v>
      </c>
      <c r="AA82" s="89">
        <f t="shared" si="50"/>
        <v>-2.8571428571428568</v>
      </c>
      <c r="AB82" s="89">
        <f t="shared" si="28"/>
        <v>-1.0714285714285712</v>
      </c>
      <c r="AC82" s="145">
        <v>5</v>
      </c>
      <c r="AD82" s="128" t="s">
        <v>38</v>
      </c>
      <c r="AE82" s="94" t="s">
        <v>38</v>
      </c>
      <c r="AF82" s="94" t="s">
        <v>38</v>
      </c>
      <c r="AG82" s="94">
        <v>2</v>
      </c>
      <c r="AH82" s="94" t="s">
        <v>38</v>
      </c>
      <c r="AI82" s="94" t="s">
        <v>38</v>
      </c>
      <c r="AJ82" s="147" t="s">
        <v>38</v>
      </c>
      <c r="AK82" s="147" t="s">
        <v>38</v>
      </c>
      <c r="AL82" s="147" t="s">
        <v>38</v>
      </c>
      <c r="AM82" s="147" t="s">
        <v>38</v>
      </c>
      <c r="AN82" s="147" t="s">
        <v>38</v>
      </c>
      <c r="AO82" s="146" t="s">
        <v>137</v>
      </c>
      <c r="AP82" s="63"/>
    </row>
    <row r="83" spans="1:42" ht="21.75" customHeight="1" x14ac:dyDescent="0.55000000000000004">
      <c r="A83" s="177" t="s">
        <v>91</v>
      </c>
      <c r="B83" s="268" t="s">
        <v>31</v>
      </c>
      <c r="C83" s="158" t="s">
        <v>38</v>
      </c>
      <c r="D83" s="75" t="s">
        <v>38</v>
      </c>
      <c r="E83" s="75" t="s">
        <v>38</v>
      </c>
      <c r="F83" s="75">
        <v>2</v>
      </c>
      <c r="G83" s="76" t="s">
        <v>38</v>
      </c>
      <c r="H83" s="76" t="s">
        <v>38</v>
      </c>
      <c r="I83" s="76">
        <v>2</v>
      </c>
      <c r="J83" s="77">
        <v>6</v>
      </c>
      <c r="K83" s="78">
        <f t="shared" si="51"/>
        <v>10</v>
      </c>
      <c r="L83" s="79">
        <v>0</v>
      </c>
      <c r="M83" s="218">
        <f t="shared" si="52"/>
        <v>10</v>
      </c>
      <c r="N83" s="81">
        <v>204.64</v>
      </c>
      <c r="O83" s="81">
        <v>0</v>
      </c>
      <c r="P83" s="82">
        <f t="shared" si="53"/>
        <v>204.64</v>
      </c>
      <c r="Q83" s="83">
        <f t="shared" si="44"/>
        <v>8.1855999999999991</v>
      </c>
      <c r="R83" s="84">
        <f t="shared" si="19"/>
        <v>214.87199999999999</v>
      </c>
      <c r="S83" s="83">
        <f t="shared" si="45"/>
        <v>8.5948799999999999</v>
      </c>
      <c r="T83" s="125">
        <v>361</v>
      </c>
      <c r="U83" s="85">
        <v>0</v>
      </c>
      <c r="V83" s="136">
        <f t="shared" si="41"/>
        <v>361</v>
      </c>
      <c r="W83" s="78">
        <f t="shared" si="46"/>
        <v>180.5</v>
      </c>
      <c r="X83" s="87">
        <f t="shared" si="47"/>
        <v>10.314285714285715</v>
      </c>
      <c r="Y83" s="88">
        <f t="shared" si="48"/>
        <v>12.892857142857142</v>
      </c>
      <c r="Z83" s="89">
        <f t="shared" si="49"/>
        <v>-1.8144000000000009</v>
      </c>
      <c r="AA83" s="89">
        <f t="shared" si="50"/>
        <v>0.31428571428571495</v>
      </c>
      <c r="AB83" s="89">
        <f t="shared" si="28"/>
        <v>2.8928571428571423</v>
      </c>
      <c r="AC83" s="145">
        <v>5</v>
      </c>
      <c r="AD83" s="128" t="s">
        <v>38</v>
      </c>
      <c r="AE83" s="94" t="s">
        <v>38</v>
      </c>
      <c r="AF83" s="94" t="s">
        <v>38</v>
      </c>
      <c r="AG83" s="94" t="s">
        <v>38</v>
      </c>
      <c r="AH83" s="94" t="s">
        <v>38</v>
      </c>
      <c r="AI83" s="94" t="s">
        <v>38</v>
      </c>
      <c r="AJ83" s="147" t="s">
        <v>38</v>
      </c>
      <c r="AK83" s="147" t="s">
        <v>38</v>
      </c>
      <c r="AL83" s="147" t="s">
        <v>38</v>
      </c>
      <c r="AM83" s="147" t="s">
        <v>38</v>
      </c>
      <c r="AN83" s="147" t="s">
        <v>38</v>
      </c>
      <c r="AO83" s="146"/>
      <c r="AP83" s="63"/>
    </row>
    <row r="84" spans="1:42" ht="21.75" customHeight="1" x14ac:dyDescent="0.45">
      <c r="A84" s="345" t="s">
        <v>253</v>
      </c>
      <c r="B84" s="270" t="s">
        <v>251</v>
      </c>
      <c r="C84" s="158">
        <v>0</v>
      </c>
      <c r="D84" s="75">
        <v>0</v>
      </c>
      <c r="E84" s="75">
        <v>0</v>
      </c>
      <c r="F84" s="75">
        <v>0</v>
      </c>
      <c r="G84" s="76">
        <v>0</v>
      </c>
      <c r="H84" s="76">
        <v>0</v>
      </c>
      <c r="I84" s="76">
        <v>0</v>
      </c>
      <c r="J84" s="77">
        <v>0</v>
      </c>
      <c r="K84" s="78">
        <f>SUM(C84:J84)</f>
        <v>0</v>
      </c>
      <c r="L84" s="79">
        <v>0</v>
      </c>
      <c r="M84" s="218">
        <f>K84-L84</f>
        <v>0</v>
      </c>
      <c r="N84" s="81">
        <v>0</v>
      </c>
      <c r="O84" s="81">
        <v>0</v>
      </c>
      <c r="P84" s="82">
        <f>SUM(N84:O84)</f>
        <v>0</v>
      </c>
      <c r="Q84" s="83">
        <f>P84/25</f>
        <v>0</v>
      </c>
      <c r="R84" s="84">
        <f>(P84*0.05)+P84</f>
        <v>0</v>
      </c>
      <c r="S84" s="83">
        <f>R84/25</f>
        <v>0</v>
      </c>
      <c r="T84" s="125">
        <v>0</v>
      </c>
      <c r="U84" s="85">
        <v>0</v>
      </c>
      <c r="V84" s="136">
        <f>SUM(T84:U84)</f>
        <v>0</v>
      </c>
      <c r="W84" s="78">
        <f>V84/2</f>
        <v>0</v>
      </c>
      <c r="X84" s="87">
        <f>V84/35</f>
        <v>0</v>
      </c>
      <c r="Y84" s="88">
        <f>W84/14</f>
        <v>0</v>
      </c>
      <c r="Z84" s="89">
        <f>Q84-M84</f>
        <v>0</v>
      </c>
      <c r="AA84" s="89">
        <f>X84-M84</f>
        <v>0</v>
      </c>
      <c r="AB84" s="89">
        <f>Y84-M84</f>
        <v>0</v>
      </c>
      <c r="AC84" s="145">
        <v>3</v>
      </c>
      <c r="AD84" s="128" t="s">
        <v>38</v>
      </c>
      <c r="AE84" s="220">
        <v>0</v>
      </c>
      <c r="AF84" s="220">
        <v>0</v>
      </c>
      <c r="AG84" s="220">
        <v>0</v>
      </c>
      <c r="AH84" s="220">
        <v>0</v>
      </c>
      <c r="AI84" s="220">
        <v>0</v>
      </c>
      <c r="AJ84" s="234">
        <v>0</v>
      </c>
      <c r="AK84" s="234">
        <v>0</v>
      </c>
      <c r="AL84" s="234">
        <v>0</v>
      </c>
      <c r="AM84" s="234">
        <v>0</v>
      </c>
      <c r="AN84" s="234">
        <v>0</v>
      </c>
      <c r="AO84" s="146"/>
      <c r="AP84" s="63"/>
    </row>
    <row r="85" spans="1:42" ht="21.75" customHeight="1" x14ac:dyDescent="0.45">
      <c r="A85" s="346"/>
      <c r="B85" s="270" t="s">
        <v>252</v>
      </c>
      <c r="C85" s="158">
        <v>0</v>
      </c>
      <c r="D85" s="75">
        <v>0</v>
      </c>
      <c r="E85" s="75">
        <v>0</v>
      </c>
      <c r="F85" s="75">
        <v>0</v>
      </c>
      <c r="G85" s="76">
        <v>0</v>
      </c>
      <c r="H85" s="76">
        <v>0</v>
      </c>
      <c r="I85" s="76">
        <v>1</v>
      </c>
      <c r="J85" s="77">
        <v>4</v>
      </c>
      <c r="K85" s="78">
        <f>SUM(C85:J85)</f>
        <v>5</v>
      </c>
      <c r="L85" s="79">
        <v>0</v>
      </c>
      <c r="M85" s="218">
        <f>K85-L85</f>
        <v>5</v>
      </c>
      <c r="N85" s="81">
        <v>0</v>
      </c>
      <c r="O85" s="81">
        <v>0</v>
      </c>
      <c r="P85" s="82">
        <f>SUM(N85:O85)</f>
        <v>0</v>
      </c>
      <c r="Q85" s="83">
        <f>P85/25</f>
        <v>0</v>
      </c>
      <c r="R85" s="84">
        <f>(P85*0.05)+P85</f>
        <v>0</v>
      </c>
      <c r="S85" s="83">
        <f>R85/25</f>
        <v>0</v>
      </c>
      <c r="T85" s="125">
        <v>0</v>
      </c>
      <c r="U85" s="85">
        <v>0</v>
      </c>
      <c r="V85" s="136">
        <f>SUM(T85:U85)</f>
        <v>0</v>
      </c>
      <c r="W85" s="78">
        <f>V85/2</f>
        <v>0</v>
      </c>
      <c r="X85" s="87">
        <f>V85/35</f>
        <v>0</v>
      </c>
      <c r="Y85" s="88">
        <f>W85/14</f>
        <v>0</v>
      </c>
      <c r="Z85" s="89">
        <f>Q85-M85</f>
        <v>-5</v>
      </c>
      <c r="AA85" s="89">
        <f>X85-M85</f>
        <v>-5</v>
      </c>
      <c r="AB85" s="89">
        <f>Y85-M85</f>
        <v>-5</v>
      </c>
      <c r="AC85" s="145">
        <v>5</v>
      </c>
      <c r="AD85" s="128" t="s">
        <v>38</v>
      </c>
      <c r="AE85" s="220">
        <v>0</v>
      </c>
      <c r="AF85" s="220">
        <v>0</v>
      </c>
      <c r="AG85" s="220">
        <v>0</v>
      </c>
      <c r="AH85" s="220">
        <v>0</v>
      </c>
      <c r="AI85" s="220">
        <v>0</v>
      </c>
      <c r="AJ85" s="234">
        <v>0</v>
      </c>
      <c r="AK85" s="234">
        <v>0</v>
      </c>
      <c r="AL85" s="234">
        <v>0</v>
      </c>
      <c r="AM85" s="234">
        <v>0</v>
      </c>
      <c r="AN85" s="234">
        <v>0</v>
      </c>
      <c r="AO85" s="146"/>
      <c r="AP85" s="63"/>
    </row>
    <row r="86" spans="1:42" ht="21.75" customHeight="1" x14ac:dyDescent="0.55000000000000004">
      <c r="A86" s="177" t="s">
        <v>254</v>
      </c>
      <c r="B86" s="268" t="s">
        <v>31</v>
      </c>
      <c r="C86" s="158" t="s">
        <v>38</v>
      </c>
      <c r="D86" s="75" t="s">
        <v>38</v>
      </c>
      <c r="E86" s="75">
        <v>1</v>
      </c>
      <c r="F86" s="75" t="s">
        <v>38</v>
      </c>
      <c r="G86" s="76" t="s">
        <v>38</v>
      </c>
      <c r="H86" s="76" t="s">
        <v>38</v>
      </c>
      <c r="I86" s="76" t="s">
        <v>38</v>
      </c>
      <c r="J86" s="77">
        <v>4</v>
      </c>
      <c r="K86" s="78">
        <f t="shared" si="51"/>
        <v>5</v>
      </c>
      <c r="L86" s="79">
        <v>0</v>
      </c>
      <c r="M86" s="218">
        <f t="shared" si="52"/>
        <v>5</v>
      </c>
      <c r="N86" s="81">
        <v>149.56</v>
      </c>
      <c r="O86" s="81">
        <v>0</v>
      </c>
      <c r="P86" s="82">
        <f t="shared" si="53"/>
        <v>149.56</v>
      </c>
      <c r="Q86" s="83">
        <f t="shared" si="44"/>
        <v>5.9824000000000002</v>
      </c>
      <c r="R86" s="84">
        <f t="shared" ref="R86:R105" si="54">(P86*0.05)+P86</f>
        <v>157.03800000000001</v>
      </c>
      <c r="S86" s="83">
        <f t="shared" si="45"/>
        <v>6.2815200000000004</v>
      </c>
      <c r="T86" s="125">
        <v>115</v>
      </c>
      <c r="U86" s="85">
        <v>0</v>
      </c>
      <c r="V86" s="136">
        <f t="shared" si="41"/>
        <v>115</v>
      </c>
      <c r="W86" s="78">
        <f t="shared" si="46"/>
        <v>57.5</v>
      </c>
      <c r="X86" s="87">
        <f t="shared" si="47"/>
        <v>3.2857142857142856</v>
      </c>
      <c r="Y86" s="88">
        <f t="shared" si="48"/>
        <v>4.1071428571428568</v>
      </c>
      <c r="Z86" s="89">
        <f t="shared" si="49"/>
        <v>0.98240000000000016</v>
      </c>
      <c r="AA86" s="89">
        <f t="shared" si="50"/>
        <v>-1.7142857142857144</v>
      </c>
      <c r="AB86" s="89">
        <f t="shared" si="28"/>
        <v>-0.89285714285714324</v>
      </c>
      <c r="AC86" s="145">
        <v>5</v>
      </c>
      <c r="AD86" s="128" t="s">
        <v>38</v>
      </c>
      <c r="AE86" s="94" t="s">
        <v>38</v>
      </c>
      <c r="AF86" s="94" t="s">
        <v>38</v>
      </c>
      <c r="AG86" s="94" t="s">
        <v>38</v>
      </c>
      <c r="AH86" s="94" t="s">
        <v>38</v>
      </c>
      <c r="AI86" s="94" t="s">
        <v>38</v>
      </c>
      <c r="AJ86" s="147" t="s">
        <v>38</v>
      </c>
      <c r="AK86" s="147" t="s">
        <v>38</v>
      </c>
      <c r="AL86" s="147" t="s">
        <v>38</v>
      </c>
      <c r="AM86" s="147" t="s">
        <v>38</v>
      </c>
      <c r="AN86" s="147" t="s">
        <v>38</v>
      </c>
      <c r="AO86" s="146"/>
      <c r="AP86" s="63"/>
    </row>
    <row r="87" spans="1:42" ht="21.75" customHeight="1" x14ac:dyDescent="0.55000000000000004">
      <c r="A87" s="177" t="s">
        <v>255</v>
      </c>
      <c r="B87" s="268" t="s">
        <v>30</v>
      </c>
      <c r="C87" s="158" t="s">
        <v>38</v>
      </c>
      <c r="D87" s="75">
        <v>3</v>
      </c>
      <c r="E87" s="75" t="s">
        <v>38</v>
      </c>
      <c r="F87" s="75">
        <v>1</v>
      </c>
      <c r="G87" s="76" t="s">
        <v>38</v>
      </c>
      <c r="H87" s="76">
        <v>1</v>
      </c>
      <c r="I87" s="76">
        <v>1</v>
      </c>
      <c r="J87" s="77">
        <v>2</v>
      </c>
      <c r="K87" s="78">
        <f t="shared" si="51"/>
        <v>8</v>
      </c>
      <c r="L87" s="79">
        <v>0</v>
      </c>
      <c r="M87" s="218">
        <f t="shared" si="52"/>
        <v>8</v>
      </c>
      <c r="N87" s="81">
        <v>54.694444444444443</v>
      </c>
      <c r="O87" s="81">
        <v>0</v>
      </c>
      <c r="P87" s="82">
        <f t="shared" si="53"/>
        <v>54.694444444444443</v>
      </c>
      <c r="Q87" s="83">
        <f t="shared" si="44"/>
        <v>2.1877777777777778</v>
      </c>
      <c r="R87" s="84">
        <f t="shared" si="54"/>
        <v>57.429166666666667</v>
      </c>
      <c r="S87" s="83">
        <f t="shared" si="45"/>
        <v>2.2971666666666666</v>
      </c>
      <c r="T87" s="125">
        <v>203</v>
      </c>
      <c r="U87" s="85">
        <v>0</v>
      </c>
      <c r="V87" s="136">
        <f t="shared" si="41"/>
        <v>203</v>
      </c>
      <c r="W87" s="78">
        <f t="shared" si="46"/>
        <v>101.5</v>
      </c>
      <c r="X87" s="87">
        <f t="shared" si="47"/>
        <v>5.8</v>
      </c>
      <c r="Y87" s="88">
        <f t="shared" si="48"/>
        <v>7.25</v>
      </c>
      <c r="Z87" s="89">
        <f t="shared" si="49"/>
        <v>-5.8122222222222222</v>
      </c>
      <c r="AA87" s="89">
        <f t="shared" si="50"/>
        <v>-2.2000000000000002</v>
      </c>
      <c r="AB87" s="89">
        <f t="shared" si="28"/>
        <v>-0.75</v>
      </c>
      <c r="AC87" s="145">
        <v>5</v>
      </c>
      <c r="AD87" s="128" t="s">
        <v>38</v>
      </c>
      <c r="AE87" s="94">
        <v>1</v>
      </c>
      <c r="AF87" s="94" t="s">
        <v>38</v>
      </c>
      <c r="AG87" s="94" t="s">
        <v>38</v>
      </c>
      <c r="AH87" s="94" t="s">
        <v>38</v>
      </c>
      <c r="AI87" s="94" t="s">
        <v>38</v>
      </c>
      <c r="AJ87" s="147" t="s">
        <v>38</v>
      </c>
      <c r="AK87" s="147" t="s">
        <v>38</v>
      </c>
      <c r="AL87" s="147" t="s">
        <v>38</v>
      </c>
      <c r="AM87" s="147" t="s">
        <v>38</v>
      </c>
      <c r="AN87" s="147" t="s">
        <v>38</v>
      </c>
      <c r="AO87" s="146"/>
      <c r="AP87" s="63"/>
    </row>
    <row r="88" spans="1:42" ht="21.75" customHeight="1" x14ac:dyDescent="0.45">
      <c r="A88" s="344" t="s">
        <v>256</v>
      </c>
      <c r="B88" s="268" t="s">
        <v>260</v>
      </c>
      <c r="C88" s="158" t="s">
        <v>38</v>
      </c>
      <c r="D88" s="75" t="s">
        <v>38</v>
      </c>
      <c r="E88" s="75">
        <v>1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4</v>
      </c>
      <c r="K88" s="78">
        <f t="shared" si="51"/>
        <v>6</v>
      </c>
      <c r="L88" s="79">
        <v>0</v>
      </c>
      <c r="M88" s="218">
        <f t="shared" si="52"/>
        <v>6</v>
      </c>
      <c r="N88" s="81">
        <v>273.38888888888903</v>
      </c>
      <c r="O88" s="81">
        <v>0</v>
      </c>
      <c r="P88" s="82">
        <f t="shared" si="53"/>
        <v>273.38888888888903</v>
      </c>
      <c r="Q88" s="83">
        <f t="shared" si="44"/>
        <v>10.935555555555561</v>
      </c>
      <c r="R88" s="84">
        <f t="shared" si="54"/>
        <v>287.05833333333351</v>
      </c>
      <c r="S88" s="83">
        <f t="shared" si="45"/>
        <v>11.48233333333334</v>
      </c>
      <c r="T88" s="125">
        <v>176</v>
      </c>
      <c r="U88" s="85">
        <v>0</v>
      </c>
      <c r="V88" s="136">
        <f t="shared" si="41"/>
        <v>176</v>
      </c>
      <c r="W88" s="78">
        <f t="shared" si="46"/>
        <v>88</v>
      </c>
      <c r="X88" s="87">
        <f t="shared" si="47"/>
        <v>5.0285714285714285</v>
      </c>
      <c r="Y88" s="88">
        <f t="shared" si="48"/>
        <v>6.2857142857142856</v>
      </c>
      <c r="Z88" s="89">
        <f t="shared" si="49"/>
        <v>4.9355555555555615</v>
      </c>
      <c r="AA88" s="89">
        <f t="shared" si="50"/>
        <v>-0.97142857142857153</v>
      </c>
      <c r="AB88" s="89">
        <f t="shared" si="28"/>
        <v>0.28571428571428559</v>
      </c>
      <c r="AC88" s="145">
        <v>5</v>
      </c>
      <c r="AD88" s="128" t="s">
        <v>38</v>
      </c>
      <c r="AE88" s="94" t="s">
        <v>38</v>
      </c>
      <c r="AF88" s="94" t="s">
        <v>38</v>
      </c>
      <c r="AG88" s="94" t="s">
        <v>38</v>
      </c>
      <c r="AH88" s="94" t="s">
        <v>38</v>
      </c>
      <c r="AI88" s="94" t="s">
        <v>38</v>
      </c>
      <c r="AJ88" s="147" t="s">
        <v>38</v>
      </c>
      <c r="AK88" s="147" t="s">
        <v>38</v>
      </c>
      <c r="AL88" s="147" t="s">
        <v>38</v>
      </c>
      <c r="AM88" s="147" t="s">
        <v>38</v>
      </c>
      <c r="AN88" s="147" t="s">
        <v>38</v>
      </c>
      <c r="AO88" s="146"/>
      <c r="AP88" s="63"/>
    </row>
    <row r="89" spans="1:42" ht="21.75" customHeight="1" x14ac:dyDescent="0.45">
      <c r="A89" s="344"/>
      <c r="B89" s="268" t="s">
        <v>261</v>
      </c>
      <c r="C89" s="158" t="s">
        <v>38</v>
      </c>
      <c r="D89" s="75" t="s">
        <v>38</v>
      </c>
      <c r="E89" s="75">
        <v>2</v>
      </c>
      <c r="F89" s="75">
        <v>1</v>
      </c>
      <c r="G89" s="76" t="s">
        <v>38</v>
      </c>
      <c r="H89" s="76" t="s">
        <v>38</v>
      </c>
      <c r="I89" s="76" t="s">
        <v>38</v>
      </c>
      <c r="J89" s="77">
        <v>3</v>
      </c>
      <c r="K89" s="78">
        <f t="shared" si="51"/>
        <v>6</v>
      </c>
      <c r="L89" s="79">
        <v>0</v>
      </c>
      <c r="M89" s="218">
        <f t="shared" si="52"/>
        <v>6</v>
      </c>
      <c r="N89" s="81">
        <v>194.19444444444446</v>
      </c>
      <c r="O89" s="81">
        <v>0</v>
      </c>
      <c r="P89" s="82">
        <f t="shared" si="53"/>
        <v>194.19444444444446</v>
      </c>
      <c r="Q89" s="83">
        <f t="shared" si="44"/>
        <v>7.7677777777777779</v>
      </c>
      <c r="R89" s="84">
        <f t="shared" si="54"/>
        <v>203.90416666666667</v>
      </c>
      <c r="S89" s="83">
        <f t="shared" si="45"/>
        <v>8.1561666666666675</v>
      </c>
      <c r="T89" s="125">
        <f>90+94</f>
        <v>184</v>
      </c>
      <c r="U89" s="85">
        <v>0</v>
      </c>
      <c r="V89" s="136">
        <f t="shared" si="41"/>
        <v>184</v>
      </c>
      <c r="W89" s="78">
        <f t="shared" si="46"/>
        <v>92</v>
      </c>
      <c r="X89" s="87">
        <f t="shared" si="47"/>
        <v>5.2571428571428571</v>
      </c>
      <c r="Y89" s="88">
        <f t="shared" si="48"/>
        <v>6.5714285714285712</v>
      </c>
      <c r="Z89" s="89">
        <f t="shared" si="49"/>
        <v>1.7677777777777779</v>
      </c>
      <c r="AA89" s="89">
        <f t="shared" si="50"/>
        <v>-0.74285714285714288</v>
      </c>
      <c r="AB89" s="89">
        <f t="shared" si="28"/>
        <v>0.57142857142857117</v>
      </c>
      <c r="AC89" s="145">
        <v>5</v>
      </c>
      <c r="AD89" s="128" t="s">
        <v>38</v>
      </c>
      <c r="AE89" s="94" t="s">
        <v>38</v>
      </c>
      <c r="AF89" s="94" t="s">
        <v>38</v>
      </c>
      <c r="AG89" s="94" t="s">
        <v>38</v>
      </c>
      <c r="AH89" s="94" t="s">
        <v>38</v>
      </c>
      <c r="AI89" s="94" t="s">
        <v>38</v>
      </c>
      <c r="AJ89" s="147" t="s">
        <v>38</v>
      </c>
      <c r="AK89" s="147" t="s">
        <v>38</v>
      </c>
      <c r="AL89" s="147" t="s">
        <v>38</v>
      </c>
      <c r="AM89" s="147" t="s">
        <v>38</v>
      </c>
      <c r="AN89" s="147" t="s">
        <v>38</v>
      </c>
      <c r="AO89" s="146"/>
      <c r="AP89" s="63"/>
    </row>
    <row r="90" spans="1:42" s="18" customFormat="1" ht="21.75" customHeight="1" x14ac:dyDescent="0.55000000000000004">
      <c r="A90" s="183" t="s">
        <v>95</v>
      </c>
      <c r="B90" s="271"/>
      <c r="C90" s="149">
        <f>SUM(C91:C99)</f>
        <v>0</v>
      </c>
      <c r="D90" s="149">
        <f t="shared" ref="D90:L90" si="55">SUM(D91:D99)</f>
        <v>0</v>
      </c>
      <c r="E90" s="149">
        <f t="shared" si="55"/>
        <v>5</v>
      </c>
      <c r="F90" s="149">
        <f>SUM(F91:F99)</f>
        <v>6</v>
      </c>
      <c r="G90" s="149">
        <f t="shared" si="55"/>
        <v>0</v>
      </c>
      <c r="H90" s="149">
        <f t="shared" si="55"/>
        <v>0</v>
      </c>
      <c r="I90" s="149">
        <f t="shared" si="55"/>
        <v>16</v>
      </c>
      <c r="J90" s="149">
        <f t="shared" si="55"/>
        <v>32</v>
      </c>
      <c r="K90" s="150">
        <f t="shared" si="55"/>
        <v>59</v>
      </c>
      <c r="L90" s="150">
        <f t="shared" si="55"/>
        <v>4</v>
      </c>
      <c r="M90" s="150">
        <f>SUM(M91:M99)</f>
        <v>55</v>
      </c>
      <c r="N90" s="150">
        <f t="shared" ref="N90:AM90" si="56">SUM(N91:N99)</f>
        <v>350.05555555555554</v>
      </c>
      <c r="O90" s="150">
        <f t="shared" si="56"/>
        <v>0</v>
      </c>
      <c r="P90" s="150">
        <f t="shared" si="56"/>
        <v>350.05555555555554</v>
      </c>
      <c r="Q90" s="150">
        <f t="shared" si="56"/>
        <v>20.731944444444444</v>
      </c>
      <c r="R90" s="150">
        <f t="shared" si="56"/>
        <v>402.55833333333334</v>
      </c>
      <c r="S90" s="150">
        <f t="shared" si="56"/>
        <v>23.518541666666664</v>
      </c>
      <c r="T90" s="252">
        <f t="shared" si="56"/>
        <v>1626</v>
      </c>
      <c r="U90" s="252">
        <f t="shared" si="56"/>
        <v>0</v>
      </c>
      <c r="V90" s="252">
        <f t="shared" si="56"/>
        <v>1626</v>
      </c>
      <c r="W90" s="252">
        <f t="shared" si="56"/>
        <v>813</v>
      </c>
      <c r="X90" s="150">
        <f t="shared" si="56"/>
        <v>46.457142857142856</v>
      </c>
      <c r="Y90" s="150">
        <f t="shared" si="56"/>
        <v>58.071428571428569</v>
      </c>
      <c r="Z90" s="151">
        <f t="shared" si="56"/>
        <v>-34.268055555555556</v>
      </c>
      <c r="AA90" s="151">
        <f t="shared" si="56"/>
        <v>-8.5428571428571427</v>
      </c>
      <c r="AB90" s="150">
        <f t="shared" si="56"/>
        <v>3.071428571428573</v>
      </c>
      <c r="AC90" s="150">
        <f t="shared" si="56"/>
        <v>45</v>
      </c>
      <c r="AD90" s="150">
        <f t="shared" si="56"/>
        <v>0</v>
      </c>
      <c r="AE90" s="150">
        <f t="shared" si="56"/>
        <v>0</v>
      </c>
      <c r="AF90" s="150">
        <f t="shared" si="56"/>
        <v>0</v>
      </c>
      <c r="AG90" s="150">
        <f t="shared" si="56"/>
        <v>0</v>
      </c>
      <c r="AH90" s="150">
        <f t="shared" si="56"/>
        <v>0</v>
      </c>
      <c r="AI90" s="150">
        <f t="shared" si="56"/>
        <v>0</v>
      </c>
      <c r="AJ90" s="150">
        <f t="shared" si="56"/>
        <v>0</v>
      </c>
      <c r="AK90" s="150">
        <f t="shared" si="56"/>
        <v>0</v>
      </c>
      <c r="AL90" s="150">
        <f t="shared" si="56"/>
        <v>0</v>
      </c>
      <c r="AM90" s="150">
        <f t="shared" si="56"/>
        <v>0</v>
      </c>
      <c r="AN90" s="155">
        <v>0</v>
      </c>
      <c r="AO90" s="156"/>
      <c r="AP90" s="72"/>
    </row>
    <row r="91" spans="1:42" ht="21.75" customHeight="1" x14ac:dyDescent="0.55000000000000004">
      <c r="A91" s="177" t="s">
        <v>216</v>
      </c>
      <c r="B91" s="268" t="s">
        <v>34</v>
      </c>
      <c r="C91" s="158" t="s">
        <v>38</v>
      </c>
      <c r="D91" s="75" t="s">
        <v>38</v>
      </c>
      <c r="E91" s="75" t="s">
        <v>38</v>
      </c>
      <c r="F91" s="75">
        <v>1</v>
      </c>
      <c r="G91" s="76" t="s">
        <v>38</v>
      </c>
      <c r="H91" s="76" t="s">
        <v>38</v>
      </c>
      <c r="I91" s="76">
        <v>2</v>
      </c>
      <c r="J91" s="77">
        <v>4</v>
      </c>
      <c r="K91" s="78">
        <f t="shared" ref="K91:K99" si="57">SUM(C91:J91)</f>
        <v>7</v>
      </c>
      <c r="L91" s="79">
        <v>2</v>
      </c>
      <c r="M91" s="218">
        <f t="shared" ref="M91:M99" si="58">K91-L91</f>
        <v>5</v>
      </c>
      <c r="N91" s="81">
        <v>7.83</v>
      </c>
      <c r="O91" s="81">
        <v>0</v>
      </c>
      <c r="P91" s="82">
        <f t="shared" ref="P91:P96" si="59">SUM(N91:O91)</f>
        <v>7.83</v>
      </c>
      <c r="Q91" s="83">
        <f>P91/20</f>
        <v>0.39150000000000001</v>
      </c>
      <c r="R91" s="84">
        <f t="shared" si="54"/>
        <v>8.2215000000000007</v>
      </c>
      <c r="S91" s="83">
        <f>R91/20</f>
        <v>0.41107500000000002</v>
      </c>
      <c r="T91" s="125">
        <v>187</v>
      </c>
      <c r="U91" s="85">
        <v>0</v>
      </c>
      <c r="V91" s="85">
        <f t="shared" ref="V91:V99" si="60">SUM(T91:U91)</f>
        <v>187</v>
      </c>
      <c r="W91" s="78">
        <f t="shared" si="46"/>
        <v>93.5</v>
      </c>
      <c r="X91" s="87">
        <f t="shared" si="47"/>
        <v>5.3428571428571425</v>
      </c>
      <c r="Y91" s="88">
        <f t="shared" si="48"/>
        <v>6.6785714285714288</v>
      </c>
      <c r="Z91" s="89">
        <f t="shared" si="49"/>
        <v>-4.6085000000000003</v>
      </c>
      <c r="AA91" s="89">
        <f t="shared" si="50"/>
        <v>0.34285714285714253</v>
      </c>
      <c r="AB91" s="89">
        <f t="shared" si="28"/>
        <v>1.6785714285714288</v>
      </c>
      <c r="AC91" s="145">
        <v>5</v>
      </c>
      <c r="AD91" s="128" t="s">
        <v>38</v>
      </c>
      <c r="AE91" s="94" t="s">
        <v>38</v>
      </c>
      <c r="AF91" s="94" t="s">
        <v>38</v>
      </c>
      <c r="AG91" s="94" t="s">
        <v>38</v>
      </c>
      <c r="AH91" s="94" t="s">
        <v>38</v>
      </c>
      <c r="AI91" s="94" t="s">
        <v>38</v>
      </c>
      <c r="AJ91" s="147" t="s">
        <v>38</v>
      </c>
      <c r="AK91" s="147" t="s">
        <v>38</v>
      </c>
      <c r="AL91" s="147" t="s">
        <v>38</v>
      </c>
      <c r="AM91" s="147" t="s">
        <v>38</v>
      </c>
      <c r="AN91" s="147" t="s">
        <v>38</v>
      </c>
      <c r="AO91" s="146"/>
      <c r="AP91" s="63"/>
    </row>
    <row r="92" spans="1:42" ht="21.75" customHeight="1" x14ac:dyDescent="0.2">
      <c r="A92" s="127" t="s">
        <v>217</v>
      </c>
      <c r="B92" s="272" t="s">
        <v>36</v>
      </c>
      <c r="C92" s="158" t="s">
        <v>38</v>
      </c>
      <c r="D92" s="75" t="s">
        <v>38</v>
      </c>
      <c r="E92" s="75">
        <v>1</v>
      </c>
      <c r="F92" s="75" t="s">
        <v>38</v>
      </c>
      <c r="G92" s="76" t="s">
        <v>38</v>
      </c>
      <c r="H92" s="76" t="s">
        <v>38</v>
      </c>
      <c r="I92" s="76">
        <v>4</v>
      </c>
      <c r="J92" s="77">
        <v>3</v>
      </c>
      <c r="K92" s="78">
        <f t="shared" si="57"/>
        <v>8</v>
      </c>
      <c r="L92" s="79">
        <v>1</v>
      </c>
      <c r="M92" s="218">
        <f t="shared" si="58"/>
        <v>7</v>
      </c>
      <c r="N92" s="98">
        <v>43.055555555555557</v>
      </c>
      <c r="O92" s="98">
        <v>0</v>
      </c>
      <c r="P92" s="82">
        <f t="shared" si="59"/>
        <v>43.055555555555557</v>
      </c>
      <c r="Q92" s="83">
        <f>P92/8</f>
        <v>5.3819444444444446</v>
      </c>
      <c r="R92" s="84">
        <f t="shared" si="54"/>
        <v>45.208333333333336</v>
      </c>
      <c r="S92" s="83">
        <f>R92/8</f>
        <v>5.651041666666667</v>
      </c>
      <c r="T92" s="125">
        <v>326</v>
      </c>
      <c r="U92" s="85">
        <v>0</v>
      </c>
      <c r="V92" s="85">
        <f t="shared" si="60"/>
        <v>326</v>
      </c>
      <c r="W92" s="78">
        <f t="shared" si="46"/>
        <v>163</v>
      </c>
      <c r="X92" s="87">
        <f t="shared" si="47"/>
        <v>9.3142857142857149</v>
      </c>
      <c r="Y92" s="88">
        <f t="shared" si="48"/>
        <v>11.642857142857142</v>
      </c>
      <c r="Z92" s="89">
        <f t="shared" si="49"/>
        <v>-1.6180555555555554</v>
      </c>
      <c r="AA92" s="89">
        <f t="shared" si="50"/>
        <v>2.3142857142857149</v>
      </c>
      <c r="AB92" s="89">
        <f t="shared" si="28"/>
        <v>4.6428571428571423</v>
      </c>
      <c r="AC92" s="145">
        <v>5</v>
      </c>
      <c r="AD92" s="128" t="s">
        <v>38</v>
      </c>
      <c r="AE92" s="94" t="s">
        <v>38</v>
      </c>
      <c r="AF92" s="94" t="s">
        <v>38</v>
      </c>
      <c r="AG92" s="94" t="s">
        <v>38</v>
      </c>
      <c r="AH92" s="94" t="s">
        <v>38</v>
      </c>
      <c r="AI92" s="94" t="s">
        <v>38</v>
      </c>
      <c r="AJ92" s="147" t="s">
        <v>38</v>
      </c>
      <c r="AK92" s="147" t="s">
        <v>38</v>
      </c>
      <c r="AL92" s="147" t="s">
        <v>38</v>
      </c>
      <c r="AM92" s="147" t="s">
        <v>38</v>
      </c>
      <c r="AN92" s="147" t="s">
        <v>38</v>
      </c>
      <c r="AO92" s="146"/>
      <c r="AP92" s="63"/>
    </row>
    <row r="93" spans="1:42" ht="21.75" customHeight="1" x14ac:dyDescent="0.2">
      <c r="A93" s="185" t="s">
        <v>218</v>
      </c>
      <c r="B93" s="272" t="s">
        <v>124</v>
      </c>
      <c r="C93" s="158" t="s">
        <v>38</v>
      </c>
      <c r="D93" s="75" t="s">
        <v>38</v>
      </c>
      <c r="E93" s="75">
        <v>1</v>
      </c>
      <c r="F93" s="75" t="s">
        <v>38</v>
      </c>
      <c r="G93" s="76" t="s">
        <v>38</v>
      </c>
      <c r="H93" s="76" t="s">
        <v>38</v>
      </c>
      <c r="I93" s="76" t="s">
        <v>38</v>
      </c>
      <c r="J93" s="77">
        <v>5</v>
      </c>
      <c r="K93" s="78">
        <f t="shared" si="57"/>
        <v>6</v>
      </c>
      <c r="L93" s="79">
        <v>0</v>
      </c>
      <c r="M93" s="218">
        <f t="shared" si="58"/>
        <v>6</v>
      </c>
      <c r="N93" s="98">
        <v>17.138888888888889</v>
      </c>
      <c r="O93" s="98">
        <v>0</v>
      </c>
      <c r="P93" s="82">
        <f t="shared" si="59"/>
        <v>17.138888888888889</v>
      </c>
      <c r="Q93" s="83">
        <f t="shared" ref="Q93:Q98" si="61">P93/20</f>
        <v>0.85694444444444451</v>
      </c>
      <c r="R93" s="84">
        <f t="shared" si="54"/>
        <v>17.995833333333334</v>
      </c>
      <c r="S93" s="83">
        <f t="shared" ref="S93:S99" si="62">R93/20</f>
        <v>0.89979166666666666</v>
      </c>
      <c r="T93" s="125">
        <v>114</v>
      </c>
      <c r="U93" s="85">
        <v>0</v>
      </c>
      <c r="V93" s="85">
        <f t="shared" si="60"/>
        <v>114</v>
      </c>
      <c r="W93" s="78">
        <f t="shared" si="46"/>
        <v>57</v>
      </c>
      <c r="X93" s="87">
        <f t="shared" si="47"/>
        <v>3.2571428571428571</v>
      </c>
      <c r="Y93" s="88">
        <f t="shared" si="48"/>
        <v>4.0714285714285712</v>
      </c>
      <c r="Z93" s="89">
        <f t="shared" si="49"/>
        <v>-5.1430555555555557</v>
      </c>
      <c r="AA93" s="89">
        <f t="shared" si="50"/>
        <v>-2.7428571428571429</v>
      </c>
      <c r="AB93" s="89">
        <f t="shared" si="28"/>
        <v>-1.9285714285714288</v>
      </c>
      <c r="AC93" s="145">
        <v>5</v>
      </c>
      <c r="AD93" s="128" t="s">
        <v>38</v>
      </c>
      <c r="AE93" s="94" t="s">
        <v>38</v>
      </c>
      <c r="AF93" s="94" t="s">
        <v>38</v>
      </c>
      <c r="AG93" s="94" t="s">
        <v>38</v>
      </c>
      <c r="AH93" s="94" t="s">
        <v>38</v>
      </c>
      <c r="AI93" s="94" t="s">
        <v>38</v>
      </c>
      <c r="AJ93" s="147" t="s">
        <v>38</v>
      </c>
      <c r="AK93" s="147" t="s">
        <v>38</v>
      </c>
      <c r="AL93" s="147" t="s">
        <v>38</v>
      </c>
      <c r="AM93" s="147" t="s">
        <v>38</v>
      </c>
      <c r="AN93" s="147" t="s">
        <v>38</v>
      </c>
      <c r="AO93" s="146"/>
      <c r="AP93" s="63"/>
    </row>
    <row r="94" spans="1:42" ht="21.75" customHeight="1" x14ac:dyDescent="0.2">
      <c r="A94" s="185" t="s">
        <v>219</v>
      </c>
      <c r="B94" s="272" t="s">
        <v>124</v>
      </c>
      <c r="C94" s="158" t="s">
        <v>38</v>
      </c>
      <c r="D94" s="158" t="s">
        <v>38</v>
      </c>
      <c r="E94" s="158" t="s">
        <v>38</v>
      </c>
      <c r="F94" s="158">
        <v>1</v>
      </c>
      <c r="G94" s="76" t="s">
        <v>38</v>
      </c>
      <c r="H94" s="76" t="s">
        <v>38</v>
      </c>
      <c r="I94" s="76">
        <v>3</v>
      </c>
      <c r="J94" s="77">
        <v>3</v>
      </c>
      <c r="K94" s="78">
        <f t="shared" si="57"/>
        <v>7</v>
      </c>
      <c r="L94" s="79">
        <v>1</v>
      </c>
      <c r="M94" s="218">
        <f t="shared" si="58"/>
        <v>6</v>
      </c>
      <c r="N94" s="98">
        <f>0.89+36.64</f>
        <v>37.53</v>
      </c>
      <c r="O94" s="98">
        <v>0</v>
      </c>
      <c r="P94" s="82">
        <f t="shared" si="59"/>
        <v>37.53</v>
      </c>
      <c r="Q94" s="83">
        <f t="shared" si="61"/>
        <v>1.8765000000000001</v>
      </c>
      <c r="R94" s="84">
        <f t="shared" si="54"/>
        <v>39.406500000000001</v>
      </c>
      <c r="S94" s="83">
        <f t="shared" si="62"/>
        <v>1.9703250000000001</v>
      </c>
      <c r="T94" s="186">
        <v>112</v>
      </c>
      <c r="U94" s="85">
        <v>0</v>
      </c>
      <c r="V94" s="85">
        <f t="shared" si="60"/>
        <v>112</v>
      </c>
      <c r="W94" s="78">
        <f t="shared" si="46"/>
        <v>56</v>
      </c>
      <c r="X94" s="87">
        <f t="shared" si="47"/>
        <v>3.2</v>
      </c>
      <c r="Y94" s="88">
        <f t="shared" si="48"/>
        <v>4</v>
      </c>
      <c r="Z94" s="89">
        <f t="shared" si="49"/>
        <v>-4.1234999999999999</v>
      </c>
      <c r="AA94" s="89">
        <f t="shared" si="50"/>
        <v>-2.8</v>
      </c>
      <c r="AB94" s="89">
        <f t="shared" si="28"/>
        <v>-2</v>
      </c>
      <c r="AC94" s="145">
        <v>5</v>
      </c>
      <c r="AD94" s="128" t="s">
        <v>38</v>
      </c>
      <c r="AE94" s="94" t="s">
        <v>38</v>
      </c>
      <c r="AF94" s="94" t="s">
        <v>38</v>
      </c>
      <c r="AG94" s="94" t="s">
        <v>38</v>
      </c>
      <c r="AH94" s="94" t="s">
        <v>38</v>
      </c>
      <c r="AI94" s="94" t="s">
        <v>38</v>
      </c>
      <c r="AJ94" s="147" t="s">
        <v>38</v>
      </c>
      <c r="AK94" s="147" t="s">
        <v>38</v>
      </c>
      <c r="AL94" s="147" t="s">
        <v>38</v>
      </c>
      <c r="AM94" s="147" t="s">
        <v>38</v>
      </c>
      <c r="AN94" s="147" t="s">
        <v>38</v>
      </c>
      <c r="AO94" s="146"/>
      <c r="AP94" s="63"/>
    </row>
    <row r="95" spans="1:42" ht="21.75" customHeight="1" x14ac:dyDescent="0.2">
      <c r="A95" s="127" t="s">
        <v>220</v>
      </c>
      <c r="B95" s="272" t="s">
        <v>37</v>
      </c>
      <c r="C95" s="158" t="s">
        <v>38</v>
      </c>
      <c r="D95" s="75" t="s">
        <v>38</v>
      </c>
      <c r="E95" s="75">
        <v>1</v>
      </c>
      <c r="F95" s="75">
        <v>2</v>
      </c>
      <c r="G95" s="76" t="s">
        <v>38</v>
      </c>
      <c r="H95" s="76" t="s">
        <v>38</v>
      </c>
      <c r="I95" s="76">
        <v>1</v>
      </c>
      <c r="J95" s="77">
        <v>3</v>
      </c>
      <c r="K95" s="78">
        <f t="shared" si="57"/>
        <v>7</v>
      </c>
      <c r="L95" s="79">
        <v>0</v>
      </c>
      <c r="M95" s="218">
        <f t="shared" si="58"/>
        <v>7</v>
      </c>
      <c r="N95" s="98">
        <v>59.277777777777779</v>
      </c>
      <c r="O95" s="98">
        <v>0</v>
      </c>
      <c r="P95" s="82">
        <f t="shared" si="59"/>
        <v>59.277777777777779</v>
      </c>
      <c r="Q95" s="83">
        <f t="shared" si="61"/>
        <v>2.963888888888889</v>
      </c>
      <c r="R95" s="84">
        <f t="shared" si="54"/>
        <v>62.241666666666667</v>
      </c>
      <c r="S95" s="83">
        <f t="shared" si="62"/>
        <v>3.1120833333333335</v>
      </c>
      <c r="T95" s="125">
        <v>262</v>
      </c>
      <c r="U95" s="85">
        <v>0</v>
      </c>
      <c r="V95" s="85">
        <f t="shared" si="60"/>
        <v>262</v>
      </c>
      <c r="W95" s="78">
        <f t="shared" si="46"/>
        <v>131</v>
      </c>
      <c r="X95" s="87">
        <f t="shared" si="47"/>
        <v>7.4857142857142858</v>
      </c>
      <c r="Y95" s="88">
        <f t="shared" si="48"/>
        <v>9.3571428571428577</v>
      </c>
      <c r="Z95" s="89">
        <f t="shared" si="49"/>
        <v>-4.0361111111111114</v>
      </c>
      <c r="AA95" s="89">
        <f t="shared" si="50"/>
        <v>0.48571428571428577</v>
      </c>
      <c r="AB95" s="89">
        <f t="shared" si="28"/>
        <v>2.3571428571428577</v>
      </c>
      <c r="AC95" s="145">
        <v>5</v>
      </c>
      <c r="AD95" s="128" t="s">
        <v>38</v>
      </c>
      <c r="AE95" s="94" t="s">
        <v>38</v>
      </c>
      <c r="AF95" s="94" t="s">
        <v>38</v>
      </c>
      <c r="AG95" s="94" t="s">
        <v>38</v>
      </c>
      <c r="AH95" s="94" t="s">
        <v>38</v>
      </c>
      <c r="AI95" s="94" t="s">
        <v>38</v>
      </c>
      <c r="AJ95" s="147" t="s">
        <v>38</v>
      </c>
      <c r="AK95" s="147" t="s">
        <v>38</v>
      </c>
      <c r="AL95" s="147" t="s">
        <v>38</v>
      </c>
      <c r="AM95" s="147" t="s">
        <v>38</v>
      </c>
      <c r="AN95" s="147" t="s">
        <v>38</v>
      </c>
      <c r="AO95" s="146"/>
      <c r="AP95" s="63"/>
    </row>
    <row r="96" spans="1:42" ht="21.75" customHeight="1" x14ac:dyDescent="0.2">
      <c r="A96" s="127" t="s">
        <v>221</v>
      </c>
      <c r="B96" s="272" t="s">
        <v>34</v>
      </c>
      <c r="C96" s="158" t="s">
        <v>38</v>
      </c>
      <c r="D96" s="75" t="s">
        <v>38</v>
      </c>
      <c r="E96" s="75" t="s">
        <v>38</v>
      </c>
      <c r="F96" s="75">
        <v>0</v>
      </c>
      <c r="G96" s="76" t="s">
        <v>38</v>
      </c>
      <c r="H96" s="76" t="s">
        <v>38</v>
      </c>
      <c r="I96" s="76" t="s">
        <v>38</v>
      </c>
      <c r="J96" s="77">
        <v>5</v>
      </c>
      <c r="K96" s="78">
        <f t="shared" si="57"/>
        <v>5</v>
      </c>
      <c r="L96" s="79">
        <v>0</v>
      </c>
      <c r="M96" s="218">
        <f t="shared" si="58"/>
        <v>5</v>
      </c>
      <c r="N96" s="81">
        <v>125.03</v>
      </c>
      <c r="O96" s="81">
        <v>0</v>
      </c>
      <c r="P96" s="82">
        <f t="shared" si="59"/>
        <v>125.03</v>
      </c>
      <c r="Q96" s="83">
        <f t="shared" si="61"/>
        <v>6.2515000000000001</v>
      </c>
      <c r="R96" s="84">
        <f t="shared" si="54"/>
        <v>131.28149999999999</v>
      </c>
      <c r="S96" s="83">
        <f t="shared" si="62"/>
        <v>6.5640749999999999</v>
      </c>
      <c r="T96" s="125">
        <v>166</v>
      </c>
      <c r="U96" s="85">
        <v>0</v>
      </c>
      <c r="V96" s="85">
        <f t="shared" si="60"/>
        <v>166</v>
      </c>
      <c r="W96" s="78">
        <f t="shared" si="46"/>
        <v>83</v>
      </c>
      <c r="X96" s="87">
        <f t="shared" si="47"/>
        <v>4.7428571428571429</v>
      </c>
      <c r="Y96" s="88">
        <f t="shared" si="48"/>
        <v>5.9285714285714288</v>
      </c>
      <c r="Z96" s="89">
        <f t="shared" si="49"/>
        <v>1.2515000000000001</v>
      </c>
      <c r="AA96" s="89">
        <f t="shared" si="50"/>
        <v>-0.25714285714285712</v>
      </c>
      <c r="AB96" s="89">
        <f t="shared" si="28"/>
        <v>0.92857142857142883</v>
      </c>
      <c r="AC96" s="145">
        <v>5</v>
      </c>
      <c r="AD96" s="128" t="s">
        <v>38</v>
      </c>
      <c r="AE96" s="94" t="s">
        <v>38</v>
      </c>
      <c r="AF96" s="94" t="s">
        <v>38</v>
      </c>
      <c r="AG96" s="94" t="s">
        <v>38</v>
      </c>
      <c r="AH96" s="94" t="s">
        <v>38</v>
      </c>
      <c r="AI96" s="94" t="s">
        <v>38</v>
      </c>
      <c r="AJ96" s="147" t="s">
        <v>38</v>
      </c>
      <c r="AK96" s="147" t="s">
        <v>38</v>
      </c>
      <c r="AL96" s="147" t="s">
        <v>38</v>
      </c>
      <c r="AM96" s="147" t="s">
        <v>38</v>
      </c>
      <c r="AN96" s="147" t="s">
        <v>38</v>
      </c>
      <c r="AO96" s="146"/>
      <c r="AP96" s="63"/>
    </row>
    <row r="97" spans="1:42" ht="21.75" customHeight="1" x14ac:dyDescent="0.2">
      <c r="A97" s="127" t="s">
        <v>222</v>
      </c>
      <c r="B97" s="272" t="s">
        <v>34</v>
      </c>
      <c r="C97" s="158" t="s">
        <v>38</v>
      </c>
      <c r="D97" s="75" t="s">
        <v>38</v>
      </c>
      <c r="E97" s="75" t="s">
        <v>38</v>
      </c>
      <c r="F97" s="75" t="s">
        <v>38</v>
      </c>
      <c r="G97" s="76" t="s">
        <v>38</v>
      </c>
      <c r="H97" s="76" t="s">
        <v>38</v>
      </c>
      <c r="I97" s="76">
        <v>1</v>
      </c>
      <c r="J97" s="77">
        <v>4</v>
      </c>
      <c r="K97" s="78">
        <f>SUM(C97:J97)</f>
        <v>5</v>
      </c>
      <c r="L97" s="79">
        <v>0</v>
      </c>
      <c r="M97" s="218">
        <f>K97-L97</f>
        <v>5</v>
      </c>
      <c r="N97" s="81">
        <v>23.86</v>
      </c>
      <c r="O97" s="81">
        <v>0</v>
      </c>
      <c r="P97" s="82">
        <f>SUM(N97:O97)</f>
        <v>23.86</v>
      </c>
      <c r="Q97" s="83">
        <f t="shared" si="61"/>
        <v>1.1930000000000001</v>
      </c>
      <c r="R97" s="84">
        <f>(P97*0.05)+P97</f>
        <v>25.053000000000001</v>
      </c>
      <c r="S97" s="83">
        <f>R97/20</f>
        <v>1.25265</v>
      </c>
      <c r="T97" s="125">
        <v>73</v>
      </c>
      <c r="U97" s="85">
        <v>0</v>
      </c>
      <c r="V97" s="85">
        <f>SUM(T97:U97)</f>
        <v>73</v>
      </c>
      <c r="W97" s="78">
        <f>V97/2</f>
        <v>36.5</v>
      </c>
      <c r="X97" s="87">
        <f>V97/35</f>
        <v>2.0857142857142859</v>
      </c>
      <c r="Y97" s="88">
        <f>W97/14</f>
        <v>2.6071428571428572</v>
      </c>
      <c r="Z97" s="89">
        <f>Q97-M97</f>
        <v>-3.8069999999999999</v>
      </c>
      <c r="AA97" s="89">
        <f>X97-M97</f>
        <v>-2.9142857142857141</v>
      </c>
      <c r="AB97" s="89">
        <f>Y97-M97</f>
        <v>-2.3928571428571428</v>
      </c>
      <c r="AC97" s="145">
        <v>5</v>
      </c>
      <c r="AD97" s="128" t="s">
        <v>38</v>
      </c>
      <c r="AE97" s="94" t="s">
        <v>38</v>
      </c>
      <c r="AF97" s="94" t="s">
        <v>38</v>
      </c>
      <c r="AG97" s="94" t="s">
        <v>38</v>
      </c>
      <c r="AH97" s="94" t="s">
        <v>38</v>
      </c>
      <c r="AI97" s="94" t="s">
        <v>38</v>
      </c>
      <c r="AJ97" s="147" t="s">
        <v>38</v>
      </c>
      <c r="AK97" s="147" t="s">
        <v>38</v>
      </c>
      <c r="AL97" s="147" t="s">
        <v>38</v>
      </c>
      <c r="AM97" s="147" t="s">
        <v>38</v>
      </c>
      <c r="AN97" s="147" t="s">
        <v>38</v>
      </c>
      <c r="AO97" s="146"/>
      <c r="AP97" s="63"/>
    </row>
    <row r="98" spans="1:42" ht="21.75" customHeight="1" x14ac:dyDescent="0.2">
      <c r="A98" s="127" t="s">
        <v>223</v>
      </c>
      <c r="B98" s="272" t="s">
        <v>37</v>
      </c>
      <c r="C98" s="158">
        <v>0</v>
      </c>
      <c r="D98" s="75">
        <v>0</v>
      </c>
      <c r="E98" s="75">
        <v>2</v>
      </c>
      <c r="F98" s="75">
        <v>0</v>
      </c>
      <c r="G98" s="76">
        <v>0</v>
      </c>
      <c r="H98" s="76">
        <v>0</v>
      </c>
      <c r="I98" s="76">
        <v>4</v>
      </c>
      <c r="J98" s="77">
        <v>3</v>
      </c>
      <c r="K98" s="78">
        <f>SUM(C98:J98)</f>
        <v>9</v>
      </c>
      <c r="L98" s="79">
        <v>0</v>
      </c>
      <c r="M98" s="218">
        <f>K98-L98</f>
        <v>9</v>
      </c>
      <c r="N98" s="81">
        <f>5.44444444444444+30.8888888888889</f>
        <v>36.333333333333343</v>
      </c>
      <c r="O98" s="81">
        <v>0</v>
      </c>
      <c r="P98" s="82">
        <f>SUM(N98:O98)</f>
        <v>36.333333333333343</v>
      </c>
      <c r="Q98" s="83">
        <f t="shared" si="61"/>
        <v>1.8166666666666671</v>
      </c>
      <c r="R98" s="84">
        <f>(P98*0.05)+P98</f>
        <v>38.150000000000013</v>
      </c>
      <c r="S98" s="83">
        <f>R98/20</f>
        <v>1.9075000000000006</v>
      </c>
      <c r="T98" s="125">
        <f>184+202</f>
        <v>386</v>
      </c>
      <c r="U98" s="85">
        <v>0</v>
      </c>
      <c r="V98" s="85">
        <f>SUM(T98:U98)</f>
        <v>386</v>
      </c>
      <c r="W98" s="78">
        <f>V98/2</f>
        <v>193</v>
      </c>
      <c r="X98" s="87">
        <f>V98/35</f>
        <v>11.028571428571428</v>
      </c>
      <c r="Y98" s="88">
        <f>W98/14</f>
        <v>13.785714285714286</v>
      </c>
      <c r="Z98" s="89">
        <f>Q98-M98</f>
        <v>-7.1833333333333327</v>
      </c>
      <c r="AA98" s="89">
        <f>X98-M98</f>
        <v>2.0285714285714285</v>
      </c>
      <c r="AB98" s="89">
        <f>Y98-M98</f>
        <v>4.7857142857142865</v>
      </c>
      <c r="AC98" s="145">
        <v>5</v>
      </c>
      <c r="AD98" s="219">
        <v>0</v>
      </c>
      <c r="AE98" s="220">
        <v>0</v>
      </c>
      <c r="AF98" s="220">
        <v>0</v>
      </c>
      <c r="AG98" s="220">
        <v>0</v>
      </c>
      <c r="AH98" s="220">
        <v>0</v>
      </c>
      <c r="AI98" s="220">
        <v>0</v>
      </c>
      <c r="AJ98" s="234">
        <v>0</v>
      </c>
      <c r="AK98" s="234">
        <v>0</v>
      </c>
      <c r="AL98" s="234">
        <v>0</v>
      </c>
      <c r="AM98" s="234">
        <v>0</v>
      </c>
      <c r="AN98" s="234">
        <v>0</v>
      </c>
      <c r="AO98" s="146"/>
      <c r="AP98" s="63"/>
    </row>
    <row r="99" spans="1:42" ht="21.75" customHeight="1" x14ac:dyDescent="0.2">
      <c r="A99" s="127" t="s">
        <v>247</v>
      </c>
      <c r="B99" s="272" t="s">
        <v>35</v>
      </c>
      <c r="C99" s="158" t="s">
        <v>38</v>
      </c>
      <c r="D99" s="75" t="s">
        <v>38</v>
      </c>
      <c r="E99" s="75" t="s">
        <v>38</v>
      </c>
      <c r="F99" s="75">
        <v>2</v>
      </c>
      <c r="G99" s="76" t="s">
        <v>38</v>
      </c>
      <c r="H99" s="76" t="s">
        <v>38</v>
      </c>
      <c r="I99" s="76">
        <v>1</v>
      </c>
      <c r="J99" s="77">
        <v>2</v>
      </c>
      <c r="K99" s="78">
        <f t="shared" si="57"/>
        <v>5</v>
      </c>
      <c r="L99" s="79">
        <v>0</v>
      </c>
      <c r="M99" s="218">
        <f t="shared" si="58"/>
        <v>5</v>
      </c>
      <c r="N99" s="98">
        <v>0</v>
      </c>
      <c r="O99" s="81">
        <v>0</v>
      </c>
      <c r="P99" s="82">
        <f>SUM(N99:O99)</f>
        <v>0</v>
      </c>
      <c r="Q99" s="83">
        <v>0</v>
      </c>
      <c r="R99" s="84">
        <v>35</v>
      </c>
      <c r="S99" s="83">
        <f t="shared" si="62"/>
        <v>1.75</v>
      </c>
      <c r="T99" s="125">
        <v>0</v>
      </c>
      <c r="U99" s="85">
        <v>0</v>
      </c>
      <c r="V99" s="85">
        <f t="shared" si="60"/>
        <v>0</v>
      </c>
      <c r="W99" s="78">
        <f t="shared" si="46"/>
        <v>0</v>
      </c>
      <c r="X99" s="87">
        <f t="shared" si="47"/>
        <v>0</v>
      </c>
      <c r="Y99" s="88">
        <f t="shared" si="48"/>
        <v>0</v>
      </c>
      <c r="Z99" s="89">
        <f t="shared" si="49"/>
        <v>-5</v>
      </c>
      <c r="AA99" s="89">
        <f t="shared" si="50"/>
        <v>-5</v>
      </c>
      <c r="AB99" s="89">
        <f t="shared" ref="AB99:AB107" si="63">Y99-M99</f>
        <v>-5</v>
      </c>
      <c r="AC99" s="145">
        <v>5</v>
      </c>
      <c r="AD99" s="128" t="s">
        <v>38</v>
      </c>
      <c r="AE99" s="94" t="s">
        <v>38</v>
      </c>
      <c r="AF99" s="94" t="s">
        <v>38</v>
      </c>
      <c r="AG99" s="94" t="s">
        <v>38</v>
      </c>
      <c r="AH99" s="94" t="s">
        <v>38</v>
      </c>
      <c r="AI99" s="94" t="s">
        <v>38</v>
      </c>
      <c r="AJ99" s="147" t="s">
        <v>38</v>
      </c>
      <c r="AK99" s="147" t="s">
        <v>38</v>
      </c>
      <c r="AL99" s="147" t="s">
        <v>38</v>
      </c>
      <c r="AM99" s="147" t="s">
        <v>38</v>
      </c>
      <c r="AN99" s="147" t="s">
        <v>38</v>
      </c>
      <c r="AO99" s="146"/>
      <c r="AP99" s="63"/>
    </row>
    <row r="100" spans="1:42" s="9" customFormat="1" ht="21.95" customHeight="1" x14ac:dyDescent="0.2">
      <c r="A100" s="64" t="s">
        <v>105</v>
      </c>
      <c r="B100" s="265"/>
      <c r="C100" s="122">
        <f>SUM(C102:C105)</f>
        <v>0</v>
      </c>
      <c r="D100" s="122">
        <f>SUM(D101:D105)</f>
        <v>2</v>
      </c>
      <c r="E100" s="122">
        <f t="shared" ref="E100:J100" si="64">SUM(E101:E105)</f>
        <v>1</v>
      </c>
      <c r="F100" s="122">
        <f t="shared" si="64"/>
        <v>0</v>
      </c>
      <c r="G100" s="122">
        <f t="shared" si="64"/>
        <v>0</v>
      </c>
      <c r="H100" s="122">
        <f t="shared" si="64"/>
        <v>0</v>
      </c>
      <c r="I100" s="122">
        <f t="shared" si="64"/>
        <v>4</v>
      </c>
      <c r="J100" s="122">
        <f t="shared" si="64"/>
        <v>16</v>
      </c>
      <c r="K100" s="122">
        <f>SUM(K101:K105)</f>
        <v>23</v>
      </c>
      <c r="L100" s="65">
        <f>SUM(L101:L105)</f>
        <v>3</v>
      </c>
      <c r="M100" s="65">
        <f>SUM(M101:M105)</f>
        <v>20</v>
      </c>
      <c r="N100" s="67">
        <f>SUM(N102:N105)</f>
        <v>198.47222222222223</v>
      </c>
      <c r="O100" s="67">
        <f>SUM(O101:O105)</f>
        <v>44.590000000000074</v>
      </c>
      <c r="P100" s="67">
        <f>SUM(P101:P105)</f>
        <v>243.06222222222232</v>
      </c>
      <c r="Q100" s="187">
        <f>SUM(Q101:Q105)</f>
        <v>11.386111111111115</v>
      </c>
      <c r="R100" s="152">
        <f t="shared" si="54"/>
        <v>255.21533333333343</v>
      </c>
      <c r="S100" s="187">
        <f>SUM(S101:S105)</f>
        <v>11.259916666666667</v>
      </c>
      <c r="T100" s="65">
        <f>SUM(T101:T105)</f>
        <v>301</v>
      </c>
      <c r="U100" s="65">
        <f>SUM(U101:U105)</f>
        <v>57</v>
      </c>
      <c r="V100" s="65">
        <f>SUM(V101:V105)</f>
        <v>358</v>
      </c>
      <c r="W100" s="65">
        <f t="shared" si="46"/>
        <v>179</v>
      </c>
      <c r="X100" s="155">
        <f t="shared" si="47"/>
        <v>10.228571428571428</v>
      </c>
      <c r="Y100" s="155">
        <f t="shared" si="48"/>
        <v>12.785714285714286</v>
      </c>
      <c r="Z100" s="187">
        <f>SUM(Z101:Z105)</f>
        <v>-8.6138888888888854</v>
      </c>
      <c r="AA100" s="69">
        <f>SUM(AA101:AA105)</f>
        <v>-11.771428571428572</v>
      </c>
      <c r="AB100" s="69">
        <f t="shared" si="63"/>
        <v>-7.2142857142857135</v>
      </c>
      <c r="AC100" s="187">
        <f>SUM(AC101:AC105)</f>
        <v>21</v>
      </c>
      <c r="AD100" s="187">
        <f>SUM(AD101:AD105)</f>
        <v>1.403140625</v>
      </c>
      <c r="AE100" s="65">
        <f t="shared" ref="AE100:AN100" si="65">SUM(AE101:AE105)</f>
        <v>0</v>
      </c>
      <c r="AF100" s="65">
        <f t="shared" si="65"/>
        <v>1</v>
      </c>
      <c r="AG100" s="65">
        <f t="shared" si="65"/>
        <v>0</v>
      </c>
      <c r="AH100" s="65">
        <f t="shared" si="65"/>
        <v>0</v>
      </c>
      <c r="AI100" s="65">
        <f t="shared" si="65"/>
        <v>0</v>
      </c>
      <c r="AJ100" s="65">
        <f t="shared" si="65"/>
        <v>0</v>
      </c>
      <c r="AK100" s="65">
        <f t="shared" si="65"/>
        <v>0</v>
      </c>
      <c r="AL100" s="65">
        <f t="shared" si="65"/>
        <v>0</v>
      </c>
      <c r="AM100" s="65">
        <f t="shared" si="65"/>
        <v>0</v>
      </c>
      <c r="AN100" s="65">
        <f t="shared" si="65"/>
        <v>0</v>
      </c>
      <c r="AO100" s="71"/>
      <c r="AP100" s="72"/>
    </row>
    <row r="101" spans="1:42" s="10" customFormat="1" ht="21.75" customHeight="1" x14ac:dyDescent="0.2">
      <c r="A101" s="347" t="s">
        <v>106</v>
      </c>
      <c r="B101" s="262" t="s">
        <v>15</v>
      </c>
      <c r="C101" s="96" t="s">
        <v>38</v>
      </c>
      <c r="D101" s="96">
        <v>1</v>
      </c>
      <c r="E101" s="96" t="s">
        <v>38</v>
      </c>
      <c r="F101" s="96" t="s">
        <v>38</v>
      </c>
      <c r="G101" s="97" t="s">
        <v>38</v>
      </c>
      <c r="H101" s="97" t="s">
        <v>38</v>
      </c>
      <c r="I101" s="97">
        <v>1</v>
      </c>
      <c r="J101" s="97">
        <v>1</v>
      </c>
      <c r="K101" s="108">
        <f>SUM(C101:J101)</f>
        <v>3</v>
      </c>
      <c r="L101" s="144">
        <v>0</v>
      </c>
      <c r="M101" s="237">
        <f t="shared" ref="M101:M127" si="66">K101-L101</f>
        <v>3</v>
      </c>
      <c r="N101" s="98">
        <v>0</v>
      </c>
      <c r="O101" s="98">
        <f>7.66666666666667+6.25</f>
        <v>13.91666666666667</v>
      </c>
      <c r="P101" s="82">
        <f t="shared" ref="P101:P108" si="67">N101+O101</f>
        <v>13.91666666666667</v>
      </c>
      <c r="Q101" s="134">
        <f>+O101/20</f>
        <v>0.69583333333333353</v>
      </c>
      <c r="R101" s="84">
        <f t="shared" si="54"/>
        <v>14.612500000000002</v>
      </c>
      <c r="S101" s="135">
        <f>+Q101/20</f>
        <v>3.4791666666666679E-2</v>
      </c>
      <c r="T101" s="190">
        <v>0</v>
      </c>
      <c r="U101" s="86">
        <v>19</v>
      </c>
      <c r="V101" s="85">
        <f>SUM(U101:U101)</f>
        <v>19</v>
      </c>
      <c r="W101" s="78">
        <f t="shared" si="46"/>
        <v>9.5</v>
      </c>
      <c r="X101" s="87">
        <f t="shared" si="47"/>
        <v>0.54285714285714282</v>
      </c>
      <c r="Y101" s="88">
        <f t="shared" si="48"/>
        <v>0.6785714285714286</v>
      </c>
      <c r="Z101" s="100">
        <f>Q101-M101</f>
        <v>-2.3041666666666663</v>
      </c>
      <c r="AA101" s="100">
        <f>X101-M101</f>
        <v>-2.4571428571428573</v>
      </c>
      <c r="AB101" s="100">
        <f t="shared" si="63"/>
        <v>-2.3214285714285712</v>
      </c>
      <c r="AC101" s="191">
        <v>3</v>
      </c>
      <c r="AD101" s="128" t="s">
        <v>38</v>
      </c>
      <c r="AE101" s="241" t="s">
        <v>38</v>
      </c>
      <c r="AF101" s="220" t="s">
        <v>38</v>
      </c>
      <c r="AG101" s="241" t="s">
        <v>38</v>
      </c>
      <c r="AH101" s="241" t="s">
        <v>38</v>
      </c>
      <c r="AI101" s="241" t="s">
        <v>38</v>
      </c>
      <c r="AJ101" s="242" t="s">
        <v>38</v>
      </c>
      <c r="AK101" s="242" t="s">
        <v>38</v>
      </c>
      <c r="AL101" s="242" t="s">
        <v>38</v>
      </c>
      <c r="AM101" s="242" t="s">
        <v>38</v>
      </c>
      <c r="AN101" s="242" t="s">
        <v>38</v>
      </c>
      <c r="AO101" s="94" t="s">
        <v>138</v>
      </c>
      <c r="AP101" s="63"/>
    </row>
    <row r="102" spans="1:42" s="7" customFormat="1" ht="21.75" customHeight="1" x14ac:dyDescent="0.2">
      <c r="A102" s="347"/>
      <c r="B102" s="263" t="s">
        <v>16</v>
      </c>
      <c r="C102" s="158" t="s">
        <v>38</v>
      </c>
      <c r="D102" s="158">
        <v>1</v>
      </c>
      <c r="E102" s="158">
        <v>0</v>
      </c>
      <c r="F102" s="158" t="s">
        <v>38</v>
      </c>
      <c r="G102" s="76" t="s">
        <v>38</v>
      </c>
      <c r="H102" s="76" t="s">
        <v>38</v>
      </c>
      <c r="I102" s="76" t="s">
        <v>38</v>
      </c>
      <c r="J102" s="76">
        <v>2</v>
      </c>
      <c r="K102" s="194">
        <f>SUM(C102:J102)</f>
        <v>3</v>
      </c>
      <c r="L102" s="144">
        <v>0</v>
      </c>
      <c r="M102" s="237">
        <f t="shared" si="66"/>
        <v>3</v>
      </c>
      <c r="N102" s="81">
        <v>0</v>
      </c>
      <c r="O102" s="81">
        <f>7.6666666666667*2</f>
        <v>15.3333333333334</v>
      </c>
      <c r="P102" s="82">
        <f t="shared" si="67"/>
        <v>15.3333333333334</v>
      </c>
      <c r="Q102" s="134">
        <f>+O102/20</f>
        <v>0.76666666666666994</v>
      </c>
      <c r="R102" s="84">
        <f t="shared" si="54"/>
        <v>16.100000000000069</v>
      </c>
      <c r="S102" s="135">
        <f>+Q102/20</f>
        <v>3.8333333333333497E-2</v>
      </c>
      <c r="T102" s="109">
        <v>0</v>
      </c>
      <c r="U102" s="195">
        <v>38</v>
      </c>
      <c r="V102" s="85">
        <f>SUM(U102:U102)</f>
        <v>38</v>
      </c>
      <c r="W102" s="78">
        <f t="shared" si="46"/>
        <v>19</v>
      </c>
      <c r="X102" s="87">
        <f t="shared" si="47"/>
        <v>1.0857142857142856</v>
      </c>
      <c r="Y102" s="88">
        <f t="shared" si="48"/>
        <v>1.3571428571428572</v>
      </c>
      <c r="Z102" s="89">
        <f>Q102-M102</f>
        <v>-2.2333333333333298</v>
      </c>
      <c r="AA102" s="89">
        <f>X102-M102</f>
        <v>-1.9142857142857144</v>
      </c>
      <c r="AB102" s="89">
        <f t="shared" si="63"/>
        <v>-1.6428571428571428</v>
      </c>
      <c r="AC102" s="191">
        <v>3</v>
      </c>
      <c r="AD102" s="196">
        <f>S102/8</f>
        <v>4.7916666666666871E-3</v>
      </c>
      <c r="AE102" s="243" t="s">
        <v>38</v>
      </c>
      <c r="AF102" s="243">
        <v>1</v>
      </c>
      <c r="AG102" s="243" t="s">
        <v>38</v>
      </c>
      <c r="AH102" s="243" t="s">
        <v>38</v>
      </c>
      <c r="AI102" s="243" t="s">
        <v>38</v>
      </c>
      <c r="AJ102" s="242" t="s">
        <v>38</v>
      </c>
      <c r="AK102" s="242" t="s">
        <v>38</v>
      </c>
      <c r="AL102" s="242" t="s">
        <v>38</v>
      </c>
      <c r="AM102" s="242" t="s">
        <v>38</v>
      </c>
      <c r="AN102" s="242" t="s">
        <v>38</v>
      </c>
      <c r="AO102" s="94"/>
      <c r="AP102" s="95"/>
    </row>
    <row r="103" spans="1:42" s="7" customFormat="1" ht="21.75" customHeight="1" x14ac:dyDescent="0.2">
      <c r="A103" s="347"/>
      <c r="B103" s="263" t="s">
        <v>17</v>
      </c>
      <c r="C103" s="158" t="s">
        <v>38</v>
      </c>
      <c r="D103" s="158" t="s">
        <v>38</v>
      </c>
      <c r="E103" s="158">
        <v>1</v>
      </c>
      <c r="F103" s="158" t="s">
        <v>38</v>
      </c>
      <c r="G103" s="76" t="s">
        <v>38</v>
      </c>
      <c r="H103" s="76" t="s">
        <v>38</v>
      </c>
      <c r="I103" s="76">
        <v>2</v>
      </c>
      <c r="J103" s="76">
        <v>2</v>
      </c>
      <c r="K103" s="194">
        <f>SUM(D103:J103)</f>
        <v>5</v>
      </c>
      <c r="L103" s="144">
        <v>1</v>
      </c>
      <c r="M103" s="237">
        <f t="shared" si="66"/>
        <v>4</v>
      </c>
      <c r="N103" s="81">
        <v>0</v>
      </c>
      <c r="O103" s="81">
        <f>7.67*2</f>
        <v>15.34</v>
      </c>
      <c r="P103" s="82">
        <f t="shared" si="67"/>
        <v>15.34</v>
      </c>
      <c r="Q103" s="134">
        <f>N103/20</f>
        <v>0</v>
      </c>
      <c r="R103" s="84">
        <f t="shared" si="54"/>
        <v>16.106999999999999</v>
      </c>
      <c r="S103" s="135">
        <f>P103/20</f>
        <v>0.76700000000000002</v>
      </c>
      <c r="T103" s="103">
        <v>154</v>
      </c>
      <c r="U103" s="136">
        <v>0</v>
      </c>
      <c r="V103" s="85">
        <f t="shared" ref="V103:V120" si="68">SUM(T103:U103)</f>
        <v>154</v>
      </c>
      <c r="W103" s="78">
        <f t="shared" si="46"/>
        <v>77</v>
      </c>
      <c r="X103" s="87">
        <f t="shared" si="47"/>
        <v>4.4000000000000004</v>
      </c>
      <c r="Y103" s="88">
        <f t="shared" si="48"/>
        <v>5.5</v>
      </c>
      <c r="Z103" s="89">
        <f>Q103-M103</f>
        <v>-4</v>
      </c>
      <c r="AA103" s="89">
        <f>X103-M103</f>
        <v>0.40000000000000036</v>
      </c>
      <c r="AB103" s="89">
        <f t="shared" si="63"/>
        <v>1.5</v>
      </c>
      <c r="AC103" s="191">
        <v>5</v>
      </c>
      <c r="AD103" s="196">
        <f>S103/8</f>
        <v>9.5875000000000002E-2</v>
      </c>
      <c r="AE103" s="243" t="s">
        <v>38</v>
      </c>
      <c r="AF103" s="244">
        <v>0</v>
      </c>
      <c r="AG103" s="243" t="s">
        <v>38</v>
      </c>
      <c r="AH103" s="243" t="s">
        <v>38</v>
      </c>
      <c r="AI103" s="243" t="s">
        <v>38</v>
      </c>
      <c r="AJ103" s="242" t="s">
        <v>38</v>
      </c>
      <c r="AK103" s="242" t="s">
        <v>38</v>
      </c>
      <c r="AL103" s="242" t="s">
        <v>38</v>
      </c>
      <c r="AM103" s="242" t="s">
        <v>38</v>
      </c>
      <c r="AN103" s="242" t="s">
        <v>38</v>
      </c>
      <c r="AO103" s="94"/>
      <c r="AP103" s="95"/>
    </row>
    <row r="104" spans="1:42" s="7" customFormat="1" ht="24" x14ac:dyDescent="0.2">
      <c r="A104" s="198" t="s">
        <v>107</v>
      </c>
      <c r="B104" s="263" t="s">
        <v>27</v>
      </c>
      <c r="C104" s="199" t="s">
        <v>38</v>
      </c>
      <c r="D104" s="199" t="s">
        <v>38</v>
      </c>
      <c r="E104" s="199" t="s">
        <v>38</v>
      </c>
      <c r="F104" s="199" t="s">
        <v>38</v>
      </c>
      <c r="G104" s="97" t="s">
        <v>38</v>
      </c>
      <c r="H104" s="97" t="s">
        <v>38</v>
      </c>
      <c r="I104" s="97">
        <v>0</v>
      </c>
      <c r="J104" s="97">
        <v>6</v>
      </c>
      <c r="K104" s="126">
        <f>SUM(D104:J104)</f>
        <v>6</v>
      </c>
      <c r="L104" s="79">
        <v>2</v>
      </c>
      <c r="M104" s="218">
        <f t="shared" si="66"/>
        <v>4</v>
      </c>
      <c r="N104" s="81">
        <v>177.52777777777777</v>
      </c>
      <c r="O104" s="81">
        <v>0</v>
      </c>
      <c r="P104" s="82">
        <f t="shared" si="67"/>
        <v>177.52777777777777</v>
      </c>
      <c r="Q104" s="83">
        <f>+P104/20</f>
        <v>8.8763888888888882</v>
      </c>
      <c r="R104" s="84">
        <f t="shared" si="54"/>
        <v>186.40416666666667</v>
      </c>
      <c r="S104" s="83">
        <f>+R104/20</f>
        <v>9.3202083333333334</v>
      </c>
      <c r="T104" s="125">
        <v>124</v>
      </c>
      <c r="U104" s="85">
        <v>0</v>
      </c>
      <c r="V104" s="85">
        <f t="shared" si="68"/>
        <v>124</v>
      </c>
      <c r="W104" s="78">
        <f t="shared" si="46"/>
        <v>62</v>
      </c>
      <c r="X104" s="87">
        <f t="shared" si="47"/>
        <v>3.5428571428571427</v>
      </c>
      <c r="Y104" s="88">
        <f t="shared" si="48"/>
        <v>4.4285714285714288</v>
      </c>
      <c r="Z104" s="89">
        <f>Q104-M104</f>
        <v>4.8763888888888882</v>
      </c>
      <c r="AA104" s="89">
        <f>X104-K104</f>
        <v>-2.4571428571428573</v>
      </c>
      <c r="AB104" s="89">
        <f t="shared" si="63"/>
        <v>0.42857142857142883</v>
      </c>
      <c r="AC104" s="90">
        <v>5</v>
      </c>
      <c r="AD104" s="196">
        <f>S104/8</f>
        <v>1.1650260416666667</v>
      </c>
      <c r="AE104" s="126" t="s">
        <v>38</v>
      </c>
      <c r="AF104" s="126" t="s">
        <v>38</v>
      </c>
      <c r="AG104" s="126" t="s">
        <v>38</v>
      </c>
      <c r="AH104" s="126" t="s">
        <v>38</v>
      </c>
      <c r="AI104" s="126" t="s">
        <v>38</v>
      </c>
      <c r="AJ104" s="245" t="s">
        <v>38</v>
      </c>
      <c r="AK104" s="245" t="s">
        <v>38</v>
      </c>
      <c r="AL104" s="245" t="s">
        <v>38</v>
      </c>
      <c r="AM104" s="245" t="s">
        <v>38</v>
      </c>
      <c r="AN104" s="245" t="s">
        <v>38</v>
      </c>
      <c r="AO104" s="94"/>
      <c r="AP104" s="95"/>
    </row>
    <row r="105" spans="1:42" s="7" customFormat="1" ht="21.95" customHeight="1" x14ac:dyDescent="0.2">
      <c r="A105" s="198" t="s">
        <v>108</v>
      </c>
      <c r="B105" s="263" t="s">
        <v>27</v>
      </c>
      <c r="C105" s="199" t="s">
        <v>38</v>
      </c>
      <c r="D105" s="199" t="s">
        <v>38</v>
      </c>
      <c r="E105" s="199" t="s">
        <v>38</v>
      </c>
      <c r="F105" s="199" t="s">
        <v>38</v>
      </c>
      <c r="G105" s="97" t="s">
        <v>38</v>
      </c>
      <c r="H105" s="97">
        <v>0</v>
      </c>
      <c r="I105" s="97">
        <v>1</v>
      </c>
      <c r="J105" s="97">
        <v>5</v>
      </c>
      <c r="K105" s="126">
        <f>SUM(D105:J105)</f>
        <v>6</v>
      </c>
      <c r="L105" s="79">
        <v>0</v>
      </c>
      <c r="M105" s="218">
        <f t="shared" si="66"/>
        <v>6</v>
      </c>
      <c r="N105" s="81">
        <v>20.944444444444443</v>
      </c>
      <c r="O105" s="81">
        <v>0</v>
      </c>
      <c r="P105" s="82">
        <f t="shared" si="67"/>
        <v>20.944444444444443</v>
      </c>
      <c r="Q105" s="83">
        <f>+P105/20</f>
        <v>1.0472222222222221</v>
      </c>
      <c r="R105" s="84">
        <f t="shared" si="54"/>
        <v>21.991666666666664</v>
      </c>
      <c r="S105" s="83">
        <f>+R105/20</f>
        <v>1.0995833333333331</v>
      </c>
      <c r="T105" s="125">
        <v>23</v>
      </c>
      <c r="U105" s="85">
        <v>0</v>
      </c>
      <c r="V105" s="85">
        <f t="shared" si="68"/>
        <v>23</v>
      </c>
      <c r="W105" s="78">
        <f t="shared" si="46"/>
        <v>11.5</v>
      </c>
      <c r="X105" s="87">
        <f t="shared" si="47"/>
        <v>0.65714285714285714</v>
      </c>
      <c r="Y105" s="88">
        <f t="shared" si="48"/>
        <v>0.8214285714285714</v>
      </c>
      <c r="Z105" s="89">
        <f>Q105-M105</f>
        <v>-4.9527777777777775</v>
      </c>
      <c r="AA105" s="89">
        <f>X105-K105</f>
        <v>-5.3428571428571425</v>
      </c>
      <c r="AB105" s="89">
        <f t="shared" si="63"/>
        <v>-5.1785714285714288</v>
      </c>
      <c r="AC105" s="90">
        <v>5</v>
      </c>
      <c r="AD105" s="196">
        <f>S105/8</f>
        <v>0.13744791666666664</v>
      </c>
      <c r="AE105" s="126" t="s">
        <v>38</v>
      </c>
      <c r="AF105" s="126" t="s">
        <v>38</v>
      </c>
      <c r="AG105" s="126" t="s">
        <v>38</v>
      </c>
      <c r="AH105" s="126" t="s">
        <v>38</v>
      </c>
      <c r="AI105" s="126" t="s">
        <v>38</v>
      </c>
      <c r="AJ105" s="245" t="s">
        <v>38</v>
      </c>
      <c r="AK105" s="245" t="s">
        <v>38</v>
      </c>
      <c r="AL105" s="245" t="s">
        <v>38</v>
      </c>
      <c r="AM105" s="245" t="s">
        <v>38</v>
      </c>
      <c r="AN105" s="245" t="s">
        <v>38</v>
      </c>
      <c r="AO105" s="94"/>
      <c r="AP105" s="95"/>
    </row>
    <row r="106" spans="1:42" s="18" customFormat="1" ht="21.75" customHeight="1" x14ac:dyDescent="0.2">
      <c r="A106" s="201" t="s">
        <v>109</v>
      </c>
      <c r="B106" s="273"/>
      <c r="C106" s="149">
        <f t="shared" ref="C106:AI106" si="69">SUM(C107:C107)</f>
        <v>0</v>
      </c>
      <c r="D106" s="149">
        <f t="shared" si="69"/>
        <v>0</v>
      </c>
      <c r="E106" s="149">
        <f t="shared" si="69"/>
        <v>0</v>
      </c>
      <c r="F106" s="149">
        <f t="shared" si="69"/>
        <v>0</v>
      </c>
      <c r="G106" s="149">
        <f t="shared" si="69"/>
        <v>0</v>
      </c>
      <c r="H106" s="149">
        <f t="shared" si="69"/>
        <v>0</v>
      </c>
      <c r="I106" s="149">
        <f t="shared" si="69"/>
        <v>1</v>
      </c>
      <c r="J106" s="149">
        <f t="shared" si="69"/>
        <v>5</v>
      </c>
      <c r="K106" s="149">
        <f t="shared" si="69"/>
        <v>6</v>
      </c>
      <c r="L106" s="149">
        <f t="shared" si="69"/>
        <v>0</v>
      </c>
      <c r="M106" s="149">
        <f t="shared" si="69"/>
        <v>6</v>
      </c>
      <c r="N106" s="149">
        <f t="shared" si="69"/>
        <v>0</v>
      </c>
      <c r="O106" s="149">
        <f t="shared" si="69"/>
        <v>0</v>
      </c>
      <c r="P106" s="149">
        <f t="shared" si="69"/>
        <v>0</v>
      </c>
      <c r="Q106" s="149">
        <f t="shared" si="69"/>
        <v>0</v>
      </c>
      <c r="R106" s="149">
        <f t="shared" si="69"/>
        <v>72</v>
      </c>
      <c r="S106" s="149">
        <f t="shared" si="69"/>
        <v>9</v>
      </c>
      <c r="T106" s="149">
        <f t="shared" si="69"/>
        <v>0</v>
      </c>
      <c r="U106" s="149">
        <f t="shared" si="69"/>
        <v>0</v>
      </c>
      <c r="V106" s="149">
        <f t="shared" si="69"/>
        <v>0</v>
      </c>
      <c r="W106" s="149">
        <f t="shared" si="69"/>
        <v>0</v>
      </c>
      <c r="X106" s="149">
        <f t="shared" si="69"/>
        <v>0</v>
      </c>
      <c r="Y106" s="149">
        <f t="shared" si="69"/>
        <v>0</v>
      </c>
      <c r="Z106" s="233">
        <f t="shared" si="69"/>
        <v>-6</v>
      </c>
      <c r="AA106" s="233">
        <f t="shared" si="69"/>
        <v>-6</v>
      </c>
      <c r="AB106" s="233">
        <f t="shared" si="69"/>
        <v>-6</v>
      </c>
      <c r="AC106" s="202">
        <f t="shared" si="69"/>
        <v>5</v>
      </c>
      <c r="AD106" s="202">
        <f t="shared" si="69"/>
        <v>9</v>
      </c>
      <c r="AE106" s="203">
        <f t="shared" si="69"/>
        <v>0</v>
      </c>
      <c r="AF106" s="203">
        <f t="shared" si="69"/>
        <v>0</v>
      </c>
      <c r="AG106" s="203">
        <f t="shared" si="69"/>
        <v>0</v>
      </c>
      <c r="AH106" s="203">
        <f t="shared" si="69"/>
        <v>0</v>
      </c>
      <c r="AI106" s="203">
        <f t="shared" si="69"/>
        <v>0</v>
      </c>
      <c r="AJ106" s="204">
        <v>0</v>
      </c>
      <c r="AK106" s="205">
        <f>SUM(AK107:AK107)</f>
        <v>4</v>
      </c>
      <c r="AL106" s="205">
        <f>SUM(AL107:AL107)</f>
        <v>9</v>
      </c>
      <c r="AM106" s="205">
        <f>SUM(AM107:AM107)</f>
        <v>9</v>
      </c>
      <c r="AN106" s="205">
        <f>SUM(AN107:AN107)</f>
        <v>9</v>
      </c>
      <c r="AO106" s="156"/>
      <c r="AP106" s="72"/>
    </row>
    <row r="107" spans="1:42" ht="21.75" customHeight="1" x14ac:dyDescent="0.2">
      <c r="A107" s="127" t="s">
        <v>215</v>
      </c>
      <c r="B107" s="272" t="s">
        <v>141</v>
      </c>
      <c r="C107" s="75" t="s">
        <v>38</v>
      </c>
      <c r="D107" s="75" t="s">
        <v>38</v>
      </c>
      <c r="E107" s="75" t="s">
        <v>38</v>
      </c>
      <c r="F107" s="75" t="s">
        <v>38</v>
      </c>
      <c r="G107" s="76" t="s">
        <v>38</v>
      </c>
      <c r="H107" s="76" t="s">
        <v>38</v>
      </c>
      <c r="I107" s="76">
        <v>1</v>
      </c>
      <c r="J107" s="77">
        <v>5</v>
      </c>
      <c r="K107" s="171">
        <v>6</v>
      </c>
      <c r="L107" s="79">
        <v>0</v>
      </c>
      <c r="M107" s="218">
        <f t="shared" si="66"/>
        <v>6</v>
      </c>
      <c r="N107" s="81">
        <v>0</v>
      </c>
      <c r="O107" s="81">
        <v>0</v>
      </c>
      <c r="P107" s="82">
        <f t="shared" si="67"/>
        <v>0</v>
      </c>
      <c r="Q107" s="83">
        <f>+P107/20</f>
        <v>0</v>
      </c>
      <c r="R107" s="84">
        <v>72</v>
      </c>
      <c r="S107" s="83">
        <f>+R107/8</f>
        <v>9</v>
      </c>
      <c r="T107" s="85"/>
      <c r="U107" s="85">
        <v>0</v>
      </c>
      <c r="V107" s="85">
        <f t="shared" si="68"/>
        <v>0</v>
      </c>
      <c r="W107" s="78">
        <f t="shared" si="46"/>
        <v>0</v>
      </c>
      <c r="X107" s="87">
        <f t="shared" si="47"/>
        <v>0</v>
      </c>
      <c r="Y107" s="88">
        <f t="shared" si="48"/>
        <v>0</v>
      </c>
      <c r="Z107" s="89">
        <f>Q107-M107</f>
        <v>-6</v>
      </c>
      <c r="AA107" s="89">
        <f>X107-M107</f>
        <v>-6</v>
      </c>
      <c r="AB107" s="89">
        <f t="shared" si="63"/>
        <v>-6</v>
      </c>
      <c r="AC107" s="145">
        <v>5</v>
      </c>
      <c r="AD107" s="196">
        <f>R107/8</f>
        <v>9</v>
      </c>
      <c r="AE107" s="206" t="s">
        <v>38</v>
      </c>
      <c r="AF107" s="206" t="s">
        <v>38</v>
      </c>
      <c r="AG107" s="206" t="s">
        <v>38</v>
      </c>
      <c r="AH107" s="206" t="s">
        <v>38</v>
      </c>
      <c r="AI107" s="206" t="s">
        <v>38</v>
      </c>
      <c r="AJ107" s="207">
        <v>0</v>
      </c>
      <c r="AK107" s="208">
        <v>4</v>
      </c>
      <c r="AL107" s="208">
        <v>9</v>
      </c>
      <c r="AM107" s="208">
        <v>9</v>
      </c>
      <c r="AN107" s="208">
        <v>9</v>
      </c>
      <c r="AO107" s="146" t="s">
        <v>163</v>
      </c>
      <c r="AP107" s="63"/>
    </row>
    <row r="108" spans="1:42" s="18" customFormat="1" ht="21.75" customHeight="1" x14ac:dyDescent="0.2">
      <c r="A108" s="209" t="s">
        <v>164</v>
      </c>
      <c r="B108" s="274"/>
      <c r="C108" s="149"/>
      <c r="D108" s="149">
        <f>SUM(D109:D120)</f>
        <v>0</v>
      </c>
      <c r="E108" s="149">
        <f t="shared" ref="E108:L108" si="70">SUM(E109:E120)</f>
        <v>0</v>
      </c>
      <c r="F108" s="149">
        <f t="shared" si="70"/>
        <v>0</v>
      </c>
      <c r="G108" s="149">
        <f t="shared" si="70"/>
        <v>0</v>
      </c>
      <c r="H108" s="149">
        <f t="shared" si="70"/>
        <v>0</v>
      </c>
      <c r="I108" s="149">
        <f t="shared" si="70"/>
        <v>0</v>
      </c>
      <c r="J108" s="149">
        <f t="shared" si="70"/>
        <v>52</v>
      </c>
      <c r="K108" s="149">
        <f t="shared" si="70"/>
        <v>52</v>
      </c>
      <c r="L108" s="149">
        <f t="shared" si="70"/>
        <v>0</v>
      </c>
      <c r="M108" s="65">
        <f t="shared" si="66"/>
        <v>52</v>
      </c>
      <c r="N108" s="150">
        <v>0</v>
      </c>
      <c r="O108" s="150">
        <v>0</v>
      </c>
      <c r="P108" s="150">
        <f t="shared" si="67"/>
        <v>0</v>
      </c>
      <c r="Q108" s="153">
        <v>0</v>
      </c>
      <c r="R108" s="153">
        <v>0</v>
      </c>
      <c r="S108" s="153">
        <f>+R108/8</f>
        <v>0</v>
      </c>
      <c r="T108" s="153">
        <v>0</v>
      </c>
      <c r="U108" s="153">
        <v>0</v>
      </c>
      <c r="V108" s="153">
        <f t="shared" si="68"/>
        <v>0</v>
      </c>
      <c r="W108" s="65">
        <v>0</v>
      </c>
      <c r="X108" s="155">
        <v>0</v>
      </c>
      <c r="Y108" s="155">
        <v>0</v>
      </c>
      <c r="Z108" s="70">
        <f>Q108-M108</f>
        <v>-52</v>
      </c>
      <c r="AA108" s="70">
        <f t="shared" ref="AA108:AA120" si="71">X108-M108</f>
        <v>-52</v>
      </c>
      <c r="AB108" s="65">
        <v>0</v>
      </c>
      <c r="AC108" s="122">
        <v>0</v>
      </c>
      <c r="AD108" s="65">
        <v>0</v>
      </c>
      <c r="AE108" s="155">
        <v>0</v>
      </c>
      <c r="AF108" s="155">
        <v>0</v>
      </c>
      <c r="AG108" s="155">
        <v>0</v>
      </c>
      <c r="AH108" s="155">
        <v>0</v>
      </c>
      <c r="AI108" s="155">
        <v>0</v>
      </c>
      <c r="AJ108" s="155">
        <v>0</v>
      </c>
      <c r="AK108" s="155">
        <v>0</v>
      </c>
      <c r="AL108" s="155">
        <v>0</v>
      </c>
      <c r="AM108" s="155">
        <v>0</v>
      </c>
      <c r="AN108" s="155">
        <v>0</v>
      </c>
      <c r="AO108" s="156"/>
      <c r="AP108" s="72"/>
    </row>
    <row r="109" spans="1:42" ht="21.75" customHeight="1" x14ac:dyDescent="0.2">
      <c r="A109" s="127" t="s">
        <v>169</v>
      </c>
      <c r="B109" s="272"/>
      <c r="C109" s="75" t="s">
        <v>38</v>
      </c>
      <c r="D109" s="75" t="s">
        <v>38</v>
      </c>
      <c r="E109" s="75" t="s">
        <v>38</v>
      </c>
      <c r="F109" s="75" t="s">
        <v>38</v>
      </c>
      <c r="G109" s="76" t="s">
        <v>38</v>
      </c>
      <c r="H109" s="76" t="s">
        <v>38</v>
      </c>
      <c r="I109" s="76" t="s">
        <v>38</v>
      </c>
      <c r="J109" s="77">
        <v>5</v>
      </c>
      <c r="K109" s="171">
        <f>SUM(C109:J109)</f>
        <v>5</v>
      </c>
      <c r="L109" s="79">
        <v>0</v>
      </c>
      <c r="M109" s="218">
        <f t="shared" si="66"/>
        <v>5</v>
      </c>
      <c r="N109" s="81" t="s">
        <v>38</v>
      </c>
      <c r="O109" s="81" t="s">
        <v>38</v>
      </c>
      <c r="P109" s="82" t="s">
        <v>38</v>
      </c>
      <c r="Q109" s="113" t="s">
        <v>38</v>
      </c>
      <c r="R109" s="114" t="s">
        <v>38</v>
      </c>
      <c r="S109" s="113" t="s">
        <v>38</v>
      </c>
      <c r="T109" s="85">
        <v>86</v>
      </c>
      <c r="U109" s="85">
        <v>0</v>
      </c>
      <c r="V109" s="85">
        <f t="shared" si="68"/>
        <v>86</v>
      </c>
      <c r="W109" s="78" t="s">
        <v>38</v>
      </c>
      <c r="X109" s="210">
        <f>V109/18</f>
        <v>4.7777777777777777</v>
      </c>
      <c r="Y109" s="88">
        <v>0</v>
      </c>
      <c r="Z109" s="126">
        <v>0</v>
      </c>
      <c r="AA109" s="89">
        <f t="shared" si="71"/>
        <v>-0.22222222222222232</v>
      </c>
      <c r="AB109" s="126">
        <v>0</v>
      </c>
      <c r="AC109" s="211">
        <v>0</v>
      </c>
      <c r="AD109" s="128" t="s">
        <v>38</v>
      </c>
      <c r="AE109" s="94" t="s">
        <v>38</v>
      </c>
      <c r="AF109" s="94" t="s">
        <v>38</v>
      </c>
      <c r="AG109" s="94" t="s">
        <v>38</v>
      </c>
      <c r="AH109" s="94" t="s">
        <v>38</v>
      </c>
      <c r="AI109" s="94" t="s">
        <v>38</v>
      </c>
      <c r="AJ109" s="147" t="s">
        <v>38</v>
      </c>
      <c r="AK109" s="147" t="s">
        <v>38</v>
      </c>
      <c r="AL109" s="147" t="s">
        <v>38</v>
      </c>
      <c r="AM109" s="147" t="s">
        <v>38</v>
      </c>
      <c r="AN109" s="147" t="s">
        <v>38</v>
      </c>
      <c r="AO109" s="146"/>
      <c r="AP109" s="63"/>
    </row>
    <row r="110" spans="1:42" ht="21.75" customHeight="1" x14ac:dyDescent="0.2">
      <c r="A110" s="127" t="s">
        <v>170</v>
      </c>
      <c r="B110" s="272"/>
      <c r="C110" s="75" t="s">
        <v>38</v>
      </c>
      <c r="D110" s="75" t="s">
        <v>38</v>
      </c>
      <c r="E110" s="75" t="s">
        <v>38</v>
      </c>
      <c r="F110" s="75" t="s">
        <v>38</v>
      </c>
      <c r="G110" s="76" t="s">
        <v>38</v>
      </c>
      <c r="H110" s="76" t="s">
        <v>38</v>
      </c>
      <c r="I110" s="76" t="s">
        <v>38</v>
      </c>
      <c r="J110" s="77">
        <v>5</v>
      </c>
      <c r="K110" s="171">
        <f t="shared" ref="K110:K120" si="72">SUM(C110:J110)</f>
        <v>5</v>
      </c>
      <c r="L110" s="79">
        <v>0</v>
      </c>
      <c r="M110" s="218">
        <f t="shared" si="66"/>
        <v>5</v>
      </c>
      <c r="N110" s="81" t="s">
        <v>38</v>
      </c>
      <c r="O110" s="81" t="s">
        <v>38</v>
      </c>
      <c r="P110" s="82" t="s">
        <v>38</v>
      </c>
      <c r="Q110" s="113" t="s">
        <v>38</v>
      </c>
      <c r="R110" s="114" t="s">
        <v>38</v>
      </c>
      <c r="S110" s="113" t="s">
        <v>38</v>
      </c>
      <c r="T110" s="85">
        <v>94</v>
      </c>
      <c r="U110" s="85">
        <v>0</v>
      </c>
      <c r="V110" s="85">
        <f t="shared" si="68"/>
        <v>94</v>
      </c>
      <c r="W110" s="78" t="s">
        <v>38</v>
      </c>
      <c r="X110" s="210">
        <f t="shared" ref="X110:X120" si="73">V110/18</f>
        <v>5.2222222222222223</v>
      </c>
      <c r="Y110" s="88">
        <v>0</v>
      </c>
      <c r="Z110" s="126">
        <v>0</v>
      </c>
      <c r="AA110" s="89">
        <f t="shared" si="71"/>
        <v>0.22222222222222232</v>
      </c>
      <c r="AB110" s="126">
        <v>0</v>
      </c>
      <c r="AC110" s="211">
        <v>0</v>
      </c>
      <c r="AD110" s="128" t="s">
        <v>38</v>
      </c>
      <c r="AE110" s="94" t="s">
        <v>38</v>
      </c>
      <c r="AF110" s="94" t="s">
        <v>38</v>
      </c>
      <c r="AG110" s="94" t="s">
        <v>38</v>
      </c>
      <c r="AH110" s="94" t="s">
        <v>38</v>
      </c>
      <c r="AI110" s="94" t="s">
        <v>38</v>
      </c>
      <c r="AJ110" s="147" t="s">
        <v>38</v>
      </c>
      <c r="AK110" s="147" t="s">
        <v>38</v>
      </c>
      <c r="AL110" s="147" t="s">
        <v>38</v>
      </c>
      <c r="AM110" s="147" t="s">
        <v>38</v>
      </c>
      <c r="AN110" s="147" t="s">
        <v>38</v>
      </c>
      <c r="AO110" s="146"/>
      <c r="AP110" s="63"/>
    </row>
    <row r="111" spans="1:42" ht="21.75" customHeight="1" x14ac:dyDescent="0.2">
      <c r="A111" s="127" t="s">
        <v>171</v>
      </c>
      <c r="B111" s="272"/>
      <c r="C111" s="75" t="s">
        <v>38</v>
      </c>
      <c r="D111" s="75" t="s">
        <v>38</v>
      </c>
      <c r="E111" s="75" t="s">
        <v>38</v>
      </c>
      <c r="F111" s="75" t="s">
        <v>38</v>
      </c>
      <c r="G111" s="76" t="s">
        <v>38</v>
      </c>
      <c r="H111" s="76" t="s">
        <v>38</v>
      </c>
      <c r="I111" s="76" t="s">
        <v>38</v>
      </c>
      <c r="J111" s="77">
        <v>3</v>
      </c>
      <c r="K111" s="171">
        <f t="shared" si="72"/>
        <v>3</v>
      </c>
      <c r="L111" s="79">
        <v>0</v>
      </c>
      <c r="M111" s="218">
        <f t="shared" si="66"/>
        <v>3</v>
      </c>
      <c r="N111" s="81" t="s">
        <v>38</v>
      </c>
      <c r="O111" s="81" t="s">
        <v>38</v>
      </c>
      <c r="P111" s="82" t="s">
        <v>38</v>
      </c>
      <c r="Q111" s="113" t="s">
        <v>38</v>
      </c>
      <c r="R111" s="114" t="s">
        <v>38</v>
      </c>
      <c r="S111" s="113" t="s">
        <v>38</v>
      </c>
      <c r="T111" s="85">
        <v>56</v>
      </c>
      <c r="U111" s="85">
        <v>0</v>
      </c>
      <c r="V111" s="85">
        <f t="shared" si="68"/>
        <v>56</v>
      </c>
      <c r="W111" s="78" t="s">
        <v>38</v>
      </c>
      <c r="X111" s="210">
        <f t="shared" si="73"/>
        <v>3.1111111111111112</v>
      </c>
      <c r="Y111" s="88">
        <v>0</v>
      </c>
      <c r="Z111" s="126">
        <v>0</v>
      </c>
      <c r="AA111" s="89">
        <f t="shared" si="71"/>
        <v>0.11111111111111116</v>
      </c>
      <c r="AB111" s="126">
        <v>0</v>
      </c>
      <c r="AC111" s="211">
        <v>0</v>
      </c>
      <c r="AD111" s="128" t="s">
        <v>38</v>
      </c>
      <c r="AE111" s="94" t="s">
        <v>38</v>
      </c>
      <c r="AF111" s="94" t="s">
        <v>38</v>
      </c>
      <c r="AG111" s="94" t="s">
        <v>38</v>
      </c>
      <c r="AH111" s="94" t="s">
        <v>38</v>
      </c>
      <c r="AI111" s="94" t="s">
        <v>38</v>
      </c>
      <c r="AJ111" s="147" t="s">
        <v>38</v>
      </c>
      <c r="AK111" s="147" t="s">
        <v>38</v>
      </c>
      <c r="AL111" s="147" t="s">
        <v>38</v>
      </c>
      <c r="AM111" s="147" t="s">
        <v>38</v>
      </c>
      <c r="AN111" s="147" t="s">
        <v>38</v>
      </c>
      <c r="AO111" s="146"/>
      <c r="AP111" s="63"/>
    </row>
    <row r="112" spans="1:42" ht="21.75" customHeight="1" x14ac:dyDescent="0.2">
      <c r="A112" s="127" t="s">
        <v>172</v>
      </c>
      <c r="B112" s="272"/>
      <c r="C112" s="75" t="s">
        <v>38</v>
      </c>
      <c r="D112" s="75" t="s">
        <v>38</v>
      </c>
      <c r="E112" s="75" t="s">
        <v>38</v>
      </c>
      <c r="F112" s="75" t="s">
        <v>38</v>
      </c>
      <c r="G112" s="76" t="s">
        <v>38</v>
      </c>
      <c r="H112" s="76" t="s">
        <v>38</v>
      </c>
      <c r="I112" s="76" t="s">
        <v>38</v>
      </c>
      <c r="J112" s="77">
        <v>3</v>
      </c>
      <c r="K112" s="171">
        <f t="shared" si="72"/>
        <v>3</v>
      </c>
      <c r="L112" s="79">
        <v>0</v>
      </c>
      <c r="M112" s="218">
        <f t="shared" si="66"/>
        <v>3</v>
      </c>
      <c r="N112" s="81" t="s">
        <v>38</v>
      </c>
      <c r="O112" s="81" t="s">
        <v>38</v>
      </c>
      <c r="P112" s="82" t="s">
        <v>38</v>
      </c>
      <c r="Q112" s="113" t="s">
        <v>38</v>
      </c>
      <c r="R112" s="114" t="s">
        <v>38</v>
      </c>
      <c r="S112" s="113" t="s">
        <v>38</v>
      </c>
      <c r="T112" s="85">
        <v>43</v>
      </c>
      <c r="U112" s="85">
        <v>0</v>
      </c>
      <c r="V112" s="85">
        <f t="shared" si="68"/>
        <v>43</v>
      </c>
      <c r="W112" s="78" t="s">
        <v>38</v>
      </c>
      <c r="X112" s="210">
        <f t="shared" si="73"/>
        <v>2.3888888888888888</v>
      </c>
      <c r="Y112" s="88">
        <v>0</v>
      </c>
      <c r="Z112" s="126">
        <v>0</v>
      </c>
      <c r="AA112" s="89">
        <f t="shared" si="71"/>
        <v>-0.61111111111111116</v>
      </c>
      <c r="AB112" s="126">
        <v>0</v>
      </c>
      <c r="AC112" s="211">
        <v>0</v>
      </c>
      <c r="AD112" s="128" t="s">
        <v>38</v>
      </c>
      <c r="AE112" s="94" t="s">
        <v>38</v>
      </c>
      <c r="AF112" s="94" t="s">
        <v>38</v>
      </c>
      <c r="AG112" s="94" t="s">
        <v>38</v>
      </c>
      <c r="AH112" s="94" t="s">
        <v>38</v>
      </c>
      <c r="AI112" s="94" t="s">
        <v>38</v>
      </c>
      <c r="AJ112" s="147" t="s">
        <v>38</v>
      </c>
      <c r="AK112" s="147" t="s">
        <v>38</v>
      </c>
      <c r="AL112" s="147" t="s">
        <v>38</v>
      </c>
      <c r="AM112" s="147" t="s">
        <v>38</v>
      </c>
      <c r="AN112" s="147" t="s">
        <v>38</v>
      </c>
      <c r="AO112" s="146"/>
      <c r="AP112" s="63"/>
    </row>
    <row r="113" spans="1:42" ht="21.75" customHeight="1" x14ac:dyDescent="0.2">
      <c r="A113" s="127" t="s">
        <v>173</v>
      </c>
      <c r="B113" s="272"/>
      <c r="C113" s="75" t="s">
        <v>38</v>
      </c>
      <c r="D113" s="75" t="s">
        <v>38</v>
      </c>
      <c r="E113" s="75" t="s">
        <v>38</v>
      </c>
      <c r="F113" s="75" t="s">
        <v>38</v>
      </c>
      <c r="G113" s="76" t="s">
        <v>38</v>
      </c>
      <c r="H113" s="76" t="s">
        <v>38</v>
      </c>
      <c r="I113" s="76" t="s">
        <v>38</v>
      </c>
      <c r="J113" s="77">
        <v>4</v>
      </c>
      <c r="K113" s="171">
        <f t="shared" si="72"/>
        <v>4</v>
      </c>
      <c r="L113" s="79">
        <v>0</v>
      </c>
      <c r="M113" s="218">
        <f t="shared" si="66"/>
        <v>4</v>
      </c>
      <c r="N113" s="81" t="s">
        <v>38</v>
      </c>
      <c r="O113" s="81" t="s">
        <v>38</v>
      </c>
      <c r="P113" s="82" t="s">
        <v>38</v>
      </c>
      <c r="Q113" s="113" t="s">
        <v>38</v>
      </c>
      <c r="R113" s="114" t="s">
        <v>38</v>
      </c>
      <c r="S113" s="113" t="s">
        <v>38</v>
      </c>
      <c r="T113" s="85">
        <v>70</v>
      </c>
      <c r="U113" s="85">
        <v>0</v>
      </c>
      <c r="V113" s="85">
        <f t="shared" si="68"/>
        <v>70</v>
      </c>
      <c r="W113" s="78" t="s">
        <v>38</v>
      </c>
      <c r="X113" s="210">
        <f t="shared" si="73"/>
        <v>3.8888888888888888</v>
      </c>
      <c r="Y113" s="88">
        <v>0</v>
      </c>
      <c r="Z113" s="126">
        <v>0</v>
      </c>
      <c r="AA113" s="89">
        <f t="shared" si="71"/>
        <v>-0.11111111111111116</v>
      </c>
      <c r="AB113" s="126">
        <v>0</v>
      </c>
      <c r="AC113" s="211">
        <v>0</v>
      </c>
      <c r="AD113" s="128" t="s">
        <v>38</v>
      </c>
      <c r="AE113" s="94" t="s">
        <v>38</v>
      </c>
      <c r="AF113" s="94" t="s">
        <v>38</v>
      </c>
      <c r="AG113" s="94" t="s">
        <v>38</v>
      </c>
      <c r="AH113" s="94" t="s">
        <v>38</v>
      </c>
      <c r="AI113" s="94" t="s">
        <v>38</v>
      </c>
      <c r="AJ113" s="147" t="s">
        <v>38</v>
      </c>
      <c r="AK113" s="147" t="s">
        <v>38</v>
      </c>
      <c r="AL113" s="147" t="s">
        <v>38</v>
      </c>
      <c r="AM113" s="147" t="s">
        <v>38</v>
      </c>
      <c r="AN113" s="147" t="s">
        <v>38</v>
      </c>
      <c r="AO113" s="146"/>
      <c r="AP113" s="63"/>
    </row>
    <row r="114" spans="1:42" ht="21.75" customHeight="1" x14ac:dyDescent="0.2">
      <c r="A114" s="127" t="s">
        <v>174</v>
      </c>
      <c r="B114" s="272"/>
      <c r="C114" s="75" t="s">
        <v>38</v>
      </c>
      <c r="D114" s="75" t="s">
        <v>38</v>
      </c>
      <c r="E114" s="75" t="s">
        <v>38</v>
      </c>
      <c r="F114" s="75" t="s">
        <v>38</v>
      </c>
      <c r="G114" s="76" t="s">
        <v>38</v>
      </c>
      <c r="H114" s="76" t="s">
        <v>38</v>
      </c>
      <c r="I114" s="76" t="s">
        <v>38</v>
      </c>
      <c r="J114" s="77">
        <v>4</v>
      </c>
      <c r="K114" s="171">
        <f t="shared" si="72"/>
        <v>4</v>
      </c>
      <c r="L114" s="79">
        <v>0</v>
      </c>
      <c r="M114" s="218">
        <f t="shared" si="66"/>
        <v>4</v>
      </c>
      <c r="N114" s="81" t="s">
        <v>38</v>
      </c>
      <c r="O114" s="81" t="s">
        <v>38</v>
      </c>
      <c r="P114" s="82" t="s">
        <v>38</v>
      </c>
      <c r="Q114" s="113" t="s">
        <v>38</v>
      </c>
      <c r="R114" s="114" t="s">
        <v>38</v>
      </c>
      <c r="S114" s="113" t="s">
        <v>38</v>
      </c>
      <c r="T114" s="85">
        <v>26</v>
      </c>
      <c r="U114" s="85">
        <v>0</v>
      </c>
      <c r="V114" s="85">
        <f t="shared" si="68"/>
        <v>26</v>
      </c>
      <c r="W114" s="78" t="s">
        <v>38</v>
      </c>
      <c r="X114" s="210">
        <f t="shared" si="73"/>
        <v>1.4444444444444444</v>
      </c>
      <c r="Y114" s="88">
        <v>0</v>
      </c>
      <c r="Z114" s="126">
        <v>0</v>
      </c>
      <c r="AA114" s="89">
        <f t="shared" si="71"/>
        <v>-2.5555555555555554</v>
      </c>
      <c r="AB114" s="126">
        <v>0</v>
      </c>
      <c r="AC114" s="211">
        <v>0</v>
      </c>
      <c r="AD114" s="128" t="s">
        <v>38</v>
      </c>
      <c r="AE114" s="94" t="s">
        <v>38</v>
      </c>
      <c r="AF114" s="94" t="s">
        <v>38</v>
      </c>
      <c r="AG114" s="94" t="s">
        <v>38</v>
      </c>
      <c r="AH114" s="94" t="s">
        <v>38</v>
      </c>
      <c r="AI114" s="94" t="s">
        <v>38</v>
      </c>
      <c r="AJ114" s="147" t="s">
        <v>38</v>
      </c>
      <c r="AK114" s="147" t="s">
        <v>38</v>
      </c>
      <c r="AL114" s="147" t="s">
        <v>38</v>
      </c>
      <c r="AM114" s="147" t="s">
        <v>38</v>
      </c>
      <c r="AN114" s="147" t="s">
        <v>38</v>
      </c>
      <c r="AO114" s="146"/>
      <c r="AP114" s="63"/>
    </row>
    <row r="115" spans="1:42" ht="21.75" customHeight="1" x14ac:dyDescent="0.2">
      <c r="A115" s="127" t="s">
        <v>175</v>
      </c>
      <c r="B115" s="272"/>
      <c r="C115" s="75" t="s">
        <v>38</v>
      </c>
      <c r="D115" s="75" t="s">
        <v>38</v>
      </c>
      <c r="E115" s="75" t="s">
        <v>38</v>
      </c>
      <c r="F115" s="75" t="s">
        <v>38</v>
      </c>
      <c r="G115" s="76" t="s">
        <v>38</v>
      </c>
      <c r="H115" s="76" t="s">
        <v>38</v>
      </c>
      <c r="I115" s="76" t="s">
        <v>38</v>
      </c>
      <c r="J115" s="77">
        <v>2</v>
      </c>
      <c r="K115" s="171">
        <f t="shared" si="72"/>
        <v>2</v>
      </c>
      <c r="L115" s="79">
        <v>0</v>
      </c>
      <c r="M115" s="218">
        <f t="shared" si="66"/>
        <v>2</v>
      </c>
      <c r="N115" s="81" t="s">
        <v>38</v>
      </c>
      <c r="O115" s="81" t="s">
        <v>38</v>
      </c>
      <c r="P115" s="82" t="s">
        <v>38</v>
      </c>
      <c r="Q115" s="113" t="s">
        <v>38</v>
      </c>
      <c r="R115" s="114" t="s">
        <v>38</v>
      </c>
      <c r="S115" s="113" t="s">
        <v>38</v>
      </c>
      <c r="T115" s="85">
        <v>16</v>
      </c>
      <c r="U115" s="85">
        <v>0</v>
      </c>
      <c r="V115" s="85">
        <f t="shared" si="68"/>
        <v>16</v>
      </c>
      <c r="W115" s="78" t="s">
        <v>38</v>
      </c>
      <c r="X115" s="210">
        <f t="shared" si="73"/>
        <v>0.88888888888888884</v>
      </c>
      <c r="Y115" s="88">
        <v>0</v>
      </c>
      <c r="Z115" s="126">
        <v>0</v>
      </c>
      <c r="AA115" s="89">
        <f t="shared" si="71"/>
        <v>-1.1111111111111112</v>
      </c>
      <c r="AB115" s="126">
        <v>0</v>
      </c>
      <c r="AC115" s="211">
        <v>0</v>
      </c>
      <c r="AD115" s="128" t="s">
        <v>38</v>
      </c>
      <c r="AE115" s="94" t="s">
        <v>38</v>
      </c>
      <c r="AF115" s="94" t="s">
        <v>38</v>
      </c>
      <c r="AG115" s="94" t="s">
        <v>38</v>
      </c>
      <c r="AH115" s="94" t="s">
        <v>38</v>
      </c>
      <c r="AI115" s="94" t="s">
        <v>38</v>
      </c>
      <c r="AJ115" s="147" t="s">
        <v>38</v>
      </c>
      <c r="AK115" s="147" t="s">
        <v>38</v>
      </c>
      <c r="AL115" s="147" t="s">
        <v>38</v>
      </c>
      <c r="AM115" s="147" t="s">
        <v>38</v>
      </c>
      <c r="AN115" s="147" t="s">
        <v>38</v>
      </c>
      <c r="AO115" s="146"/>
      <c r="AP115" s="63"/>
    </row>
    <row r="116" spans="1:42" ht="21.75" customHeight="1" x14ac:dyDescent="0.2">
      <c r="A116" s="212" t="s">
        <v>176</v>
      </c>
      <c r="B116" s="272"/>
      <c r="C116" s="75"/>
      <c r="D116" s="75" t="s">
        <v>38</v>
      </c>
      <c r="E116" s="75" t="s">
        <v>38</v>
      </c>
      <c r="F116" s="75" t="s">
        <v>38</v>
      </c>
      <c r="G116" s="76" t="s">
        <v>38</v>
      </c>
      <c r="H116" s="76" t="s">
        <v>38</v>
      </c>
      <c r="I116" s="76" t="s">
        <v>38</v>
      </c>
      <c r="J116" s="77">
        <v>2</v>
      </c>
      <c r="K116" s="171">
        <f t="shared" si="72"/>
        <v>2</v>
      </c>
      <c r="L116" s="79">
        <v>0</v>
      </c>
      <c r="M116" s="218">
        <f t="shared" si="66"/>
        <v>2</v>
      </c>
      <c r="N116" s="81" t="s">
        <v>38</v>
      </c>
      <c r="O116" s="81" t="s">
        <v>38</v>
      </c>
      <c r="P116" s="82" t="s">
        <v>38</v>
      </c>
      <c r="Q116" s="113" t="s">
        <v>38</v>
      </c>
      <c r="R116" s="114" t="s">
        <v>38</v>
      </c>
      <c r="S116" s="113" t="s">
        <v>38</v>
      </c>
      <c r="T116" s="85">
        <v>7</v>
      </c>
      <c r="U116" s="85">
        <v>0</v>
      </c>
      <c r="V116" s="85">
        <f t="shared" si="68"/>
        <v>7</v>
      </c>
      <c r="W116" s="78" t="s">
        <v>38</v>
      </c>
      <c r="X116" s="213">
        <f>V116/18</f>
        <v>0.3888888888888889</v>
      </c>
      <c r="Y116" s="88">
        <v>0</v>
      </c>
      <c r="Z116" s="126">
        <v>0</v>
      </c>
      <c r="AA116" s="89">
        <f t="shared" si="71"/>
        <v>-1.6111111111111112</v>
      </c>
      <c r="AB116" s="126">
        <v>0</v>
      </c>
      <c r="AC116" s="211">
        <v>0</v>
      </c>
      <c r="AD116" s="128" t="s">
        <v>38</v>
      </c>
      <c r="AE116" s="94" t="s">
        <v>38</v>
      </c>
      <c r="AF116" s="94" t="s">
        <v>38</v>
      </c>
      <c r="AG116" s="94" t="s">
        <v>38</v>
      </c>
      <c r="AH116" s="94" t="s">
        <v>38</v>
      </c>
      <c r="AI116" s="94" t="s">
        <v>38</v>
      </c>
      <c r="AJ116" s="147" t="s">
        <v>38</v>
      </c>
      <c r="AK116" s="147" t="s">
        <v>38</v>
      </c>
      <c r="AL116" s="147" t="s">
        <v>38</v>
      </c>
      <c r="AM116" s="147" t="s">
        <v>38</v>
      </c>
      <c r="AN116" s="147" t="s">
        <v>38</v>
      </c>
      <c r="AO116" s="146"/>
      <c r="AP116" s="63"/>
    </row>
    <row r="117" spans="1:42" ht="21.75" customHeight="1" x14ac:dyDescent="0.2">
      <c r="A117" s="127" t="s">
        <v>179</v>
      </c>
      <c r="B117" s="272"/>
      <c r="C117" s="75" t="s">
        <v>38</v>
      </c>
      <c r="D117" s="75" t="s">
        <v>38</v>
      </c>
      <c r="E117" s="75" t="s">
        <v>38</v>
      </c>
      <c r="F117" s="75" t="s">
        <v>38</v>
      </c>
      <c r="G117" s="76" t="s">
        <v>38</v>
      </c>
      <c r="H117" s="76" t="s">
        <v>38</v>
      </c>
      <c r="I117" s="76" t="s">
        <v>38</v>
      </c>
      <c r="J117" s="77">
        <v>2</v>
      </c>
      <c r="K117" s="171">
        <f t="shared" si="72"/>
        <v>2</v>
      </c>
      <c r="L117" s="79">
        <v>0</v>
      </c>
      <c r="M117" s="218">
        <f t="shared" si="66"/>
        <v>2</v>
      </c>
      <c r="N117" s="81" t="s">
        <v>38</v>
      </c>
      <c r="O117" s="81" t="s">
        <v>38</v>
      </c>
      <c r="P117" s="82" t="s">
        <v>38</v>
      </c>
      <c r="Q117" s="113" t="s">
        <v>38</v>
      </c>
      <c r="R117" s="114" t="s">
        <v>38</v>
      </c>
      <c r="S117" s="113" t="s">
        <v>38</v>
      </c>
      <c r="T117" s="85">
        <f>16+9</f>
        <v>25</v>
      </c>
      <c r="U117" s="85">
        <v>0</v>
      </c>
      <c r="V117" s="85">
        <f t="shared" si="68"/>
        <v>25</v>
      </c>
      <c r="W117" s="78" t="s">
        <v>38</v>
      </c>
      <c r="X117" s="210">
        <f t="shared" si="73"/>
        <v>1.3888888888888888</v>
      </c>
      <c r="Y117" s="88">
        <v>0</v>
      </c>
      <c r="Z117" s="126">
        <v>0</v>
      </c>
      <c r="AA117" s="89">
        <f t="shared" si="71"/>
        <v>-0.61111111111111116</v>
      </c>
      <c r="AB117" s="126">
        <v>0</v>
      </c>
      <c r="AC117" s="211">
        <v>0</v>
      </c>
      <c r="AD117" s="128" t="s">
        <v>38</v>
      </c>
      <c r="AE117" s="94" t="s">
        <v>38</v>
      </c>
      <c r="AF117" s="94" t="s">
        <v>38</v>
      </c>
      <c r="AG117" s="94" t="s">
        <v>38</v>
      </c>
      <c r="AH117" s="94" t="s">
        <v>38</v>
      </c>
      <c r="AI117" s="94" t="s">
        <v>38</v>
      </c>
      <c r="AJ117" s="147" t="s">
        <v>38</v>
      </c>
      <c r="AK117" s="147" t="s">
        <v>38</v>
      </c>
      <c r="AL117" s="147" t="s">
        <v>38</v>
      </c>
      <c r="AM117" s="147" t="s">
        <v>38</v>
      </c>
      <c r="AN117" s="147" t="s">
        <v>38</v>
      </c>
      <c r="AO117" s="146"/>
      <c r="AP117" s="63"/>
    </row>
    <row r="118" spans="1:42" ht="21.75" customHeight="1" x14ac:dyDescent="0.2">
      <c r="A118" s="127" t="s">
        <v>177</v>
      </c>
      <c r="B118" s="272"/>
      <c r="C118" s="75" t="s">
        <v>38</v>
      </c>
      <c r="D118" s="75" t="s">
        <v>38</v>
      </c>
      <c r="E118" s="75" t="s">
        <v>38</v>
      </c>
      <c r="F118" s="75" t="s">
        <v>38</v>
      </c>
      <c r="G118" s="76" t="s">
        <v>38</v>
      </c>
      <c r="H118" s="76" t="s">
        <v>38</v>
      </c>
      <c r="I118" s="76" t="s">
        <v>38</v>
      </c>
      <c r="J118" s="77">
        <v>4</v>
      </c>
      <c r="K118" s="171">
        <f t="shared" si="72"/>
        <v>4</v>
      </c>
      <c r="L118" s="79">
        <v>0</v>
      </c>
      <c r="M118" s="218">
        <f t="shared" si="66"/>
        <v>4</v>
      </c>
      <c r="N118" s="81" t="s">
        <v>38</v>
      </c>
      <c r="O118" s="81" t="s">
        <v>38</v>
      </c>
      <c r="P118" s="82" t="s">
        <v>38</v>
      </c>
      <c r="Q118" s="113" t="s">
        <v>38</v>
      </c>
      <c r="R118" s="114" t="s">
        <v>38</v>
      </c>
      <c r="S118" s="113" t="s">
        <v>38</v>
      </c>
      <c r="T118" s="85">
        <v>32</v>
      </c>
      <c r="U118" s="85">
        <v>0</v>
      </c>
      <c r="V118" s="85">
        <f t="shared" si="68"/>
        <v>32</v>
      </c>
      <c r="W118" s="78" t="s">
        <v>38</v>
      </c>
      <c r="X118" s="210">
        <f t="shared" si="73"/>
        <v>1.7777777777777777</v>
      </c>
      <c r="Y118" s="88">
        <v>0</v>
      </c>
      <c r="Z118" s="126">
        <v>0</v>
      </c>
      <c r="AA118" s="89">
        <f t="shared" si="71"/>
        <v>-2.2222222222222223</v>
      </c>
      <c r="AB118" s="126">
        <v>0</v>
      </c>
      <c r="AC118" s="211">
        <v>0</v>
      </c>
      <c r="AD118" s="128" t="s">
        <v>38</v>
      </c>
      <c r="AE118" s="94" t="s">
        <v>38</v>
      </c>
      <c r="AF118" s="94" t="s">
        <v>38</v>
      </c>
      <c r="AG118" s="94" t="s">
        <v>38</v>
      </c>
      <c r="AH118" s="94" t="s">
        <v>38</v>
      </c>
      <c r="AI118" s="94" t="s">
        <v>38</v>
      </c>
      <c r="AJ118" s="147" t="s">
        <v>38</v>
      </c>
      <c r="AK118" s="147" t="s">
        <v>38</v>
      </c>
      <c r="AL118" s="147" t="s">
        <v>38</v>
      </c>
      <c r="AM118" s="147" t="s">
        <v>38</v>
      </c>
      <c r="AN118" s="147" t="s">
        <v>38</v>
      </c>
      <c r="AO118" s="146"/>
      <c r="AP118" s="63"/>
    </row>
    <row r="119" spans="1:42" ht="21.75" customHeight="1" x14ac:dyDescent="0.2">
      <c r="A119" s="127" t="s">
        <v>178</v>
      </c>
      <c r="B119" s="272"/>
      <c r="C119" s="75" t="s">
        <v>38</v>
      </c>
      <c r="D119" s="75" t="s">
        <v>38</v>
      </c>
      <c r="E119" s="75" t="s">
        <v>38</v>
      </c>
      <c r="F119" s="75" t="s">
        <v>38</v>
      </c>
      <c r="G119" s="76" t="s">
        <v>38</v>
      </c>
      <c r="H119" s="76" t="s">
        <v>38</v>
      </c>
      <c r="I119" s="76" t="s">
        <v>38</v>
      </c>
      <c r="J119" s="77">
        <v>4</v>
      </c>
      <c r="K119" s="171">
        <f>SUM(C119:J119)</f>
        <v>4</v>
      </c>
      <c r="L119" s="79">
        <v>0</v>
      </c>
      <c r="M119" s="218">
        <f>K119-L119</f>
        <v>4</v>
      </c>
      <c r="N119" s="81" t="s">
        <v>38</v>
      </c>
      <c r="O119" s="81" t="s">
        <v>38</v>
      </c>
      <c r="P119" s="82" t="s">
        <v>38</v>
      </c>
      <c r="Q119" s="113" t="s">
        <v>38</v>
      </c>
      <c r="R119" s="114" t="s">
        <v>38</v>
      </c>
      <c r="S119" s="113" t="s">
        <v>38</v>
      </c>
      <c r="T119" s="85">
        <v>6</v>
      </c>
      <c r="U119" s="85">
        <v>0</v>
      </c>
      <c r="V119" s="85">
        <f>SUM(T119:U119)</f>
        <v>6</v>
      </c>
      <c r="W119" s="78" t="s">
        <v>38</v>
      </c>
      <c r="X119" s="213">
        <f t="shared" si="73"/>
        <v>0.33333333333333331</v>
      </c>
      <c r="Y119" s="88">
        <v>0</v>
      </c>
      <c r="Z119" s="126">
        <v>0</v>
      </c>
      <c r="AA119" s="89">
        <f>X119-M119</f>
        <v>-3.6666666666666665</v>
      </c>
      <c r="AB119" s="126">
        <v>0</v>
      </c>
      <c r="AC119" s="211">
        <v>0</v>
      </c>
      <c r="AD119" s="128" t="s">
        <v>38</v>
      </c>
      <c r="AE119" s="94" t="s">
        <v>38</v>
      </c>
      <c r="AF119" s="94" t="s">
        <v>38</v>
      </c>
      <c r="AG119" s="94" t="s">
        <v>38</v>
      </c>
      <c r="AH119" s="94" t="s">
        <v>38</v>
      </c>
      <c r="AI119" s="94" t="s">
        <v>38</v>
      </c>
      <c r="AJ119" s="147" t="s">
        <v>38</v>
      </c>
      <c r="AK119" s="147" t="s">
        <v>38</v>
      </c>
      <c r="AL119" s="147" t="s">
        <v>38</v>
      </c>
      <c r="AM119" s="147" t="s">
        <v>38</v>
      </c>
      <c r="AN119" s="147" t="s">
        <v>38</v>
      </c>
      <c r="AO119" s="146"/>
      <c r="AP119" s="63"/>
    </row>
    <row r="120" spans="1:42" ht="21.75" customHeight="1" x14ac:dyDescent="0.2">
      <c r="A120" s="127" t="s">
        <v>180</v>
      </c>
      <c r="B120" s="272"/>
      <c r="C120" s="75" t="s">
        <v>38</v>
      </c>
      <c r="D120" s="75" t="s">
        <v>38</v>
      </c>
      <c r="E120" s="75" t="s">
        <v>38</v>
      </c>
      <c r="F120" s="75" t="s">
        <v>38</v>
      </c>
      <c r="G120" s="76" t="s">
        <v>38</v>
      </c>
      <c r="H120" s="76" t="s">
        <v>38</v>
      </c>
      <c r="I120" s="76" t="s">
        <v>38</v>
      </c>
      <c r="J120" s="77">
        <v>14</v>
      </c>
      <c r="K120" s="171">
        <f t="shared" si="72"/>
        <v>14</v>
      </c>
      <c r="L120" s="79">
        <v>0</v>
      </c>
      <c r="M120" s="218">
        <f t="shared" si="66"/>
        <v>14</v>
      </c>
      <c r="N120" s="81" t="s">
        <v>38</v>
      </c>
      <c r="O120" s="81" t="s">
        <v>38</v>
      </c>
      <c r="P120" s="82" t="s">
        <v>38</v>
      </c>
      <c r="Q120" s="113" t="s">
        <v>38</v>
      </c>
      <c r="R120" s="114" t="s">
        <v>38</v>
      </c>
      <c r="S120" s="113" t="s">
        <v>38</v>
      </c>
      <c r="T120" s="85">
        <v>6</v>
      </c>
      <c r="U120" s="85">
        <v>0</v>
      </c>
      <c r="V120" s="85">
        <f t="shared" si="68"/>
        <v>6</v>
      </c>
      <c r="W120" s="78" t="s">
        <v>38</v>
      </c>
      <c r="X120" s="213">
        <f t="shared" si="73"/>
        <v>0.33333333333333331</v>
      </c>
      <c r="Y120" s="88">
        <v>0</v>
      </c>
      <c r="Z120" s="126">
        <v>0</v>
      </c>
      <c r="AA120" s="89">
        <f t="shared" si="71"/>
        <v>-13.666666666666666</v>
      </c>
      <c r="AB120" s="126">
        <v>0</v>
      </c>
      <c r="AC120" s="211">
        <v>0</v>
      </c>
      <c r="AD120" s="128" t="s">
        <v>38</v>
      </c>
      <c r="AE120" s="94" t="s">
        <v>38</v>
      </c>
      <c r="AF120" s="94" t="s">
        <v>38</v>
      </c>
      <c r="AG120" s="94" t="s">
        <v>38</v>
      </c>
      <c r="AH120" s="94" t="s">
        <v>38</v>
      </c>
      <c r="AI120" s="94" t="s">
        <v>38</v>
      </c>
      <c r="AJ120" s="147" t="s">
        <v>38</v>
      </c>
      <c r="AK120" s="147" t="s">
        <v>38</v>
      </c>
      <c r="AL120" s="147" t="s">
        <v>38</v>
      </c>
      <c r="AM120" s="147" t="s">
        <v>38</v>
      </c>
      <c r="AN120" s="147" t="s">
        <v>38</v>
      </c>
      <c r="AO120" s="146"/>
      <c r="AP120" s="63"/>
    </row>
    <row r="121" spans="1:42" s="58" customFormat="1" ht="21.75" customHeight="1" x14ac:dyDescent="0.2">
      <c r="A121" s="214" t="s">
        <v>202</v>
      </c>
      <c r="B121" s="275"/>
      <c r="C121" s="215">
        <f>SUM(C122:C127)</f>
        <v>0</v>
      </c>
      <c r="D121" s="215">
        <f t="shared" ref="D121:AN121" si="74">SUM(D122:D127)</f>
        <v>0</v>
      </c>
      <c r="E121" s="215">
        <f t="shared" si="74"/>
        <v>0</v>
      </c>
      <c r="F121" s="215">
        <f t="shared" si="74"/>
        <v>0</v>
      </c>
      <c r="G121" s="215">
        <f t="shared" si="74"/>
        <v>0</v>
      </c>
      <c r="H121" s="215">
        <f t="shared" si="74"/>
        <v>0</v>
      </c>
      <c r="I121" s="215">
        <f t="shared" si="74"/>
        <v>0</v>
      </c>
      <c r="J121" s="215">
        <f t="shared" si="74"/>
        <v>0</v>
      </c>
      <c r="K121" s="215">
        <f t="shared" si="74"/>
        <v>0</v>
      </c>
      <c r="L121" s="215">
        <f t="shared" si="74"/>
        <v>0</v>
      </c>
      <c r="M121" s="215">
        <f t="shared" si="74"/>
        <v>0</v>
      </c>
      <c r="N121" s="215">
        <f t="shared" si="74"/>
        <v>0</v>
      </c>
      <c r="O121" s="215">
        <f t="shared" si="74"/>
        <v>0</v>
      </c>
      <c r="P121" s="215">
        <f t="shared" si="74"/>
        <v>0</v>
      </c>
      <c r="Q121" s="215">
        <f t="shared" si="74"/>
        <v>0</v>
      </c>
      <c r="R121" s="215">
        <f t="shared" si="74"/>
        <v>540</v>
      </c>
      <c r="S121" s="215">
        <f t="shared" si="74"/>
        <v>18</v>
      </c>
      <c r="T121" s="215">
        <f t="shared" si="74"/>
        <v>0</v>
      </c>
      <c r="U121" s="215">
        <f t="shared" si="74"/>
        <v>0</v>
      </c>
      <c r="V121" s="215">
        <f t="shared" si="74"/>
        <v>0</v>
      </c>
      <c r="W121" s="215">
        <f t="shared" si="74"/>
        <v>0</v>
      </c>
      <c r="X121" s="215">
        <f t="shared" si="74"/>
        <v>0</v>
      </c>
      <c r="Y121" s="215">
        <f t="shared" si="74"/>
        <v>0</v>
      </c>
      <c r="Z121" s="215">
        <f t="shared" si="74"/>
        <v>0</v>
      </c>
      <c r="AA121" s="215">
        <f t="shared" si="74"/>
        <v>0</v>
      </c>
      <c r="AB121" s="215">
        <f t="shared" si="74"/>
        <v>0</v>
      </c>
      <c r="AC121" s="215">
        <f t="shared" si="74"/>
        <v>0</v>
      </c>
      <c r="AD121" s="215">
        <f t="shared" si="74"/>
        <v>0</v>
      </c>
      <c r="AE121" s="215">
        <f t="shared" si="74"/>
        <v>0</v>
      </c>
      <c r="AF121" s="215">
        <f t="shared" si="74"/>
        <v>0</v>
      </c>
      <c r="AG121" s="215">
        <f t="shared" si="74"/>
        <v>0</v>
      </c>
      <c r="AH121" s="215">
        <f t="shared" si="74"/>
        <v>0</v>
      </c>
      <c r="AI121" s="215">
        <f t="shared" si="74"/>
        <v>0</v>
      </c>
      <c r="AJ121" s="215">
        <f t="shared" si="74"/>
        <v>0</v>
      </c>
      <c r="AK121" s="215">
        <f t="shared" si="74"/>
        <v>18</v>
      </c>
      <c r="AL121" s="215">
        <f t="shared" si="74"/>
        <v>17</v>
      </c>
      <c r="AM121" s="215">
        <f t="shared" si="74"/>
        <v>7</v>
      </c>
      <c r="AN121" s="215">
        <f t="shared" si="74"/>
        <v>0</v>
      </c>
      <c r="AO121" s="216"/>
      <c r="AP121" s="217"/>
    </row>
    <row r="122" spans="1:42" ht="21.75" customHeight="1" x14ac:dyDescent="0.55000000000000004">
      <c r="A122" s="129" t="s">
        <v>10</v>
      </c>
      <c r="B122" s="272"/>
      <c r="C122" s="75">
        <v>0</v>
      </c>
      <c r="D122" s="75">
        <v>0</v>
      </c>
      <c r="E122" s="75">
        <v>0</v>
      </c>
      <c r="F122" s="75">
        <v>0</v>
      </c>
      <c r="G122" s="76">
        <v>0</v>
      </c>
      <c r="H122" s="76">
        <v>0</v>
      </c>
      <c r="I122" s="76">
        <v>0</v>
      </c>
      <c r="J122" s="77">
        <v>0</v>
      </c>
      <c r="K122" s="171">
        <v>0</v>
      </c>
      <c r="L122" s="164">
        <v>0</v>
      </c>
      <c r="M122" s="218">
        <f t="shared" si="66"/>
        <v>0</v>
      </c>
      <c r="N122" s="81" t="s">
        <v>38</v>
      </c>
      <c r="O122" s="81" t="s">
        <v>38</v>
      </c>
      <c r="P122" s="82" t="s">
        <v>38</v>
      </c>
      <c r="Q122" s="113" t="s">
        <v>38</v>
      </c>
      <c r="R122" s="114">
        <v>90</v>
      </c>
      <c r="S122" s="113">
        <f t="shared" ref="S122:S127" si="75">R122/30</f>
        <v>3</v>
      </c>
      <c r="T122" s="85">
        <v>0</v>
      </c>
      <c r="U122" s="85">
        <v>0</v>
      </c>
      <c r="V122" s="85">
        <v>0</v>
      </c>
      <c r="W122" s="78">
        <v>0</v>
      </c>
      <c r="X122" s="210">
        <v>0</v>
      </c>
      <c r="Y122" s="88">
        <v>0</v>
      </c>
      <c r="Z122" s="126">
        <v>0</v>
      </c>
      <c r="AA122" s="126">
        <v>0</v>
      </c>
      <c r="AB122" s="126">
        <v>0</v>
      </c>
      <c r="AC122" s="211">
        <v>0</v>
      </c>
      <c r="AD122" s="219">
        <v>0</v>
      </c>
      <c r="AE122" s="220">
        <v>0</v>
      </c>
      <c r="AF122" s="220">
        <v>0</v>
      </c>
      <c r="AG122" s="220">
        <v>0</v>
      </c>
      <c r="AH122" s="220">
        <v>0</v>
      </c>
      <c r="AI122" s="220">
        <v>0</v>
      </c>
      <c r="AJ122" s="234">
        <v>0</v>
      </c>
      <c r="AK122" s="234">
        <v>2</v>
      </c>
      <c r="AL122" s="234">
        <v>2</v>
      </c>
      <c r="AM122" s="234">
        <v>2</v>
      </c>
      <c r="AN122" s="234">
        <v>0</v>
      </c>
      <c r="AO122" s="146" t="s">
        <v>206</v>
      </c>
      <c r="AP122" s="63"/>
    </row>
    <row r="123" spans="1:42" ht="21.75" customHeight="1" x14ac:dyDescent="0.55000000000000004">
      <c r="A123" s="129" t="s">
        <v>11</v>
      </c>
      <c r="B123" s="272"/>
      <c r="C123" s="75">
        <v>0</v>
      </c>
      <c r="D123" s="75">
        <v>0</v>
      </c>
      <c r="E123" s="75">
        <v>0</v>
      </c>
      <c r="F123" s="75">
        <v>0</v>
      </c>
      <c r="G123" s="76">
        <v>0</v>
      </c>
      <c r="H123" s="76">
        <v>0</v>
      </c>
      <c r="I123" s="76">
        <v>0</v>
      </c>
      <c r="J123" s="77">
        <v>0</v>
      </c>
      <c r="K123" s="171">
        <v>0</v>
      </c>
      <c r="L123" s="164">
        <v>0</v>
      </c>
      <c r="M123" s="218">
        <f t="shared" si="66"/>
        <v>0</v>
      </c>
      <c r="N123" s="81" t="s">
        <v>38</v>
      </c>
      <c r="O123" s="81" t="s">
        <v>38</v>
      </c>
      <c r="P123" s="82" t="s">
        <v>38</v>
      </c>
      <c r="Q123" s="113" t="s">
        <v>38</v>
      </c>
      <c r="R123" s="114">
        <v>90</v>
      </c>
      <c r="S123" s="113">
        <f t="shared" si="75"/>
        <v>3</v>
      </c>
      <c r="T123" s="85">
        <v>0</v>
      </c>
      <c r="U123" s="85">
        <v>0</v>
      </c>
      <c r="V123" s="85">
        <v>0</v>
      </c>
      <c r="W123" s="78">
        <v>0</v>
      </c>
      <c r="X123" s="210">
        <v>0</v>
      </c>
      <c r="Y123" s="88">
        <v>0</v>
      </c>
      <c r="Z123" s="126">
        <v>0</v>
      </c>
      <c r="AA123" s="126">
        <v>0</v>
      </c>
      <c r="AB123" s="126">
        <v>0</v>
      </c>
      <c r="AC123" s="211">
        <v>0</v>
      </c>
      <c r="AD123" s="219">
        <v>0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234">
        <v>0</v>
      </c>
      <c r="AK123" s="234">
        <v>2</v>
      </c>
      <c r="AL123" s="234">
        <v>2</v>
      </c>
      <c r="AM123" s="234">
        <v>1</v>
      </c>
      <c r="AN123" s="234">
        <v>0</v>
      </c>
      <c r="AO123" s="146" t="s">
        <v>206</v>
      </c>
      <c r="AP123" s="63"/>
    </row>
    <row r="124" spans="1:42" ht="21.75" customHeight="1" x14ac:dyDescent="0.55000000000000004">
      <c r="A124" s="129" t="s">
        <v>201</v>
      </c>
      <c r="B124" s="272"/>
      <c r="C124" s="75">
        <v>0</v>
      </c>
      <c r="D124" s="75">
        <v>0</v>
      </c>
      <c r="E124" s="75">
        <v>0</v>
      </c>
      <c r="F124" s="75">
        <v>0</v>
      </c>
      <c r="G124" s="76">
        <v>0</v>
      </c>
      <c r="H124" s="76">
        <v>0</v>
      </c>
      <c r="I124" s="76">
        <v>0</v>
      </c>
      <c r="J124" s="77">
        <v>0</v>
      </c>
      <c r="K124" s="171">
        <v>0</v>
      </c>
      <c r="L124" s="164">
        <v>0</v>
      </c>
      <c r="M124" s="218">
        <f t="shared" si="66"/>
        <v>0</v>
      </c>
      <c r="N124" s="81" t="s">
        <v>38</v>
      </c>
      <c r="O124" s="81" t="s">
        <v>38</v>
      </c>
      <c r="P124" s="82" t="s">
        <v>38</v>
      </c>
      <c r="Q124" s="113" t="s">
        <v>38</v>
      </c>
      <c r="R124" s="114">
        <v>90</v>
      </c>
      <c r="S124" s="113">
        <f t="shared" si="75"/>
        <v>3</v>
      </c>
      <c r="T124" s="85">
        <v>0</v>
      </c>
      <c r="U124" s="85">
        <v>0</v>
      </c>
      <c r="V124" s="85">
        <v>0</v>
      </c>
      <c r="W124" s="78">
        <v>0</v>
      </c>
      <c r="X124" s="210">
        <v>0</v>
      </c>
      <c r="Y124" s="88">
        <v>0</v>
      </c>
      <c r="Z124" s="126">
        <v>0</v>
      </c>
      <c r="AA124" s="126">
        <v>0</v>
      </c>
      <c r="AB124" s="126">
        <v>0</v>
      </c>
      <c r="AC124" s="211">
        <v>0</v>
      </c>
      <c r="AD124" s="219">
        <v>0</v>
      </c>
      <c r="AE124" s="220">
        <v>0</v>
      </c>
      <c r="AF124" s="220">
        <v>0</v>
      </c>
      <c r="AG124" s="220">
        <v>0</v>
      </c>
      <c r="AH124" s="220">
        <v>0</v>
      </c>
      <c r="AI124" s="220">
        <v>0</v>
      </c>
      <c r="AJ124" s="234">
        <v>0</v>
      </c>
      <c r="AK124" s="234">
        <v>2</v>
      </c>
      <c r="AL124" s="234">
        <v>2</v>
      </c>
      <c r="AM124" s="234">
        <v>1</v>
      </c>
      <c r="AN124" s="234">
        <v>0</v>
      </c>
      <c r="AO124" s="146" t="s">
        <v>206</v>
      </c>
      <c r="AP124" s="63"/>
    </row>
    <row r="125" spans="1:42" ht="21.75" customHeight="1" x14ac:dyDescent="0.55000000000000004">
      <c r="A125" s="129" t="s">
        <v>203</v>
      </c>
      <c r="B125" s="272"/>
      <c r="C125" s="75">
        <v>0</v>
      </c>
      <c r="D125" s="75">
        <v>0</v>
      </c>
      <c r="E125" s="75">
        <v>0</v>
      </c>
      <c r="F125" s="75">
        <v>0</v>
      </c>
      <c r="G125" s="76">
        <v>0</v>
      </c>
      <c r="H125" s="76">
        <v>0</v>
      </c>
      <c r="I125" s="76">
        <v>0</v>
      </c>
      <c r="J125" s="77">
        <v>0</v>
      </c>
      <c r="K125" s="171">
        <v>0</v>
      </c>
      <c r="L125" s="164">
        <v>0</v>
      </c>
      <c r="M125" s="218">
        <f t="shared" si="66"/>
        <v>0</v>
      </c>
      <c r="N125" s="81" t="s">
        <v>38</v>
      </c>
      <c r="O125" s="81" t="s">
        <v>38</v>
      </c>
      <c r="P125" s="82" t="s">
        <v>38</v>
      </c>
      <c r="Q125" s="113" t="s">
        <v>38</v>
      </c>
      <c r="R125" s="114">
        <v>90</v>
      </c>
      <c r="S125" s="113">
        <f t="shared" si="75"/>
        <v>3</v>
      </c>
      <c r="T125" s="85">
        <v>0</v>
      </c>
      <c r="U125" s="85">
        <v>0</v>
      </c>
      <c r="V125" s="85">
        <v>0</v>
      </c>
      <c r="W125" s="78">
        <v>0</v>
      </c>
      <c r="X125" s="210">
        <v>0</v>
      </c>
      <c r="Y125" s="88">
        <v>0</v>
      </c>
      <c r="Z125" s="126">
        <v>0</v>
      </c>
      <c r="AA125" s="126">
        <v>0</v>
      </c>
      <c r="AB125" s="126">
        <v>0</v>
      </c>
      <c r="AC125" s="211">
        <v>0</v>
      </c>
      <c r="AD125" s="219">
        <v>0</v>
      </c>
      <c r="AE125" s="220">
        <v>0</v>
      </c>
      <c r="AF125" s="220">
        <v>0</v>
      </c>
      <c r="AG125" s="220">
        <v>0</v>
      </c>
      <c r="AH125" s="220">
        <v>0</v>
      </c>
      <c r="AI125" s="220">
        <v>0</v>
      </c>
      <c r="AJ125" s="234">
        <v>0</v>
      </c>
      <c r="AK125" s="234">
        <v>3</v>
      </c>
      <c r="AL125" s="234">
        <v>3</v>
      </c>
      <c r="AM125" s="234">
        <v>1</v>
      </c>
      <c r="AN125" s="234">
        <v>0</v>
      </c>
      <c r="AO125" s="146" t="s">
        <v>206</v>
      </c>
      <c r="AP125" s="63"/>
    </row>
    <row r="126" spans="1:42" ht="21.75" customHeight="1" x14ac:dyDescent="0.55000000000000004">
      <c r="A126" s="129" t="s">
        <v>204</v>
      </c>
      <c r="B126" s="272"/>
      <c r="C126" s="75">
        <v>0</v>
      </c>
      <c r="D126" s="75">
        <v>0</v>
      </c>
      <c r="E126" s="75">
        <v>0</v>
      </c>
      <c r="F126" s="75">
        <v>0</v>
      </c>
      <c r="G126" s="76">
        <v>0</v>
      </c>
      <c r="H126" s="76">
        <v>0</v>
      </c>
      <c r="I126" s="76">
        <v>0</v>
      </c>
      <c r="J126" s="77">
        <v>0</v>
      </c>
      <c r="K126" s="171">
        <v>0</v>
      </c>
      <c r="L126" s="164">
        <v>0</v>
      </c>
      <c r="M126" s="218">
        <f t="shared" si="66"/>
        <v>0</v>
      </c>
      <c r="N126" s="81" t="s">
        <v>38</v>
      </c>
      <c r="O126" s="81" t="s">
        <v>38</v>
      </c>
      <c r="P126" s="82" t="s">
        <v>38</v>
      </c>
      <c r="Q126" s="113" t="s">
        <v>38</v>
      </c>
      <c r="R126" s="114">
        <v>90</v>
      </c>
      <c r="S126" s="113">
        <f t="shared" si="75"/>
        <v>3</v>
      </c>
      <c r="T126" s="85">
        <v>0</v>
      </c>
      <c r="U126" s="85">
        <v>0</v>
      </c>
      <c r="V126" s="85">
        <v>0</v>
      </c>
      <c r="W126" s="78">
        <v>0</v>
      </c>
      <c r="X126" s="210">
        <v>0</v>
      </c>
      <c r="Y126" s="88">
        <v>0</v>
      </c>
      <c r="Z126" s="126">
        <v>0</v>
      </c>
      <c r="AA126" s="126">
        <v>0</v>
      </c>
      <c r="AB126" s="126">
        <v>0</v>
      </c>
      <c r="AC126" s="211">
        <v>0</v>
      </c>
      <c r="AD126" s="219">
        <v>0</v>
      </c>
      <c r="AE126" s="220">
        <v>0</v>
      </c>
      <c r="AF126" s="220">
        <v>0</v>
      </c>
      <c r="AG126" s="220">
        <v>0</v>
      </c>
      <c r="AH126" s="220">
        <v>0</v>
      </c>
      <c r="AI126" s="220">
        <v>0</v>
      </c>
      <c r="AJ126" s="234">
        <v>0</v>
      </c>
      <c r="AK126" s="234">
        <v>2</v>
      </c>
      <c r="AL126" s="234">
        <v>2</v>
      </c>
      <c r="AM126" s="234">
        <v>1</v>
      </c>
      <c r="AN126" s="234">
        <v>0</v>
      </c>
      <c r="AO126" s="146" t="s">
        <v>206</v>
      </c>
      <c r="AP126" s="63"/>
    </row>
    <row r="127" spans="1:42" ht="21.75" customHeight="1" x14ac:dyDescent="0.55000000000000004">
      <c r="A127" s="129" t="s">
        <v>205</v>
      </c>
      <c r="B127" s="272"/>
      <c r="C127" s="75">
        <v>0</v>
      </c>
      <c r="D127" s="75">
        <v>0</v>
      </c>
      <c r="E127" s="75">
        <v>0</v>
      </c>
      <c r="F127" s="75">
        <v>0</v>
      </c>
      <c r="G127" s="76">
        <v>0</v>
      </c>
      <c r="H127" s="76">
        <v>0</v>
      </c>
      <c r="I127" s="76">
        <v>0</v>
      </c>
      <c r="J127" s="77">
        <v>0</v>
      </c>
      <c r="K127" s="171">
        <v>0</v>
      </c>
      <c r="L127" s="164">
        <v>0</v>
      </c>
      <c r="M127" s="218">
        <f t="shared" si="66"/>
        <v>0</v>
      </c>
      <c r="N127" s="81" t="s">
        <v>38</v>
      </c>
      <c r="O127" s="81" t="s">
        <v>38</v>
      </c>
      <c r="P127" s="82" t="s">
        <v>38</v>
      </c>
      <c r="Q127" s="113" t="s">
        <v>38</v>
      </c>
      <c r="R127" s="114">
        <v>90</v>
      </c>
      <c r="S127" s="113">
        <f t="shared" si="75"/>
        <v>3</v>
      </c>
      <c r="T127" s="85">
        <v>0</v>
      </c>
      <c r="U127" s="85">
        <v>0</v>
      </c>
      <c r="V127" s="85">
        <v>0</v>
      </c>
      <c r="W127" s="78">
        <v>0</v>
      </c>
      <c r="X127" s="210">
        <v>0</v>
      </c>
      <c r="Y127" s="88">
        <v>0</v>
      </c>
      <c r="Z127" s="126">
        <v>0</v>
      </c>
      <c r="AA127" s="126">
        <v>0</v>
      </c>
      <c r="AB127" s="126">
        <v>0</v>
      </c>
      <c r="AC127" s="211">
        <v>0</v>
      </c>
      <c r="AD127" s="219">
        <v>0</v>
      </c>
      <c r="AE127" s="220">
        <v>0</v>
      </c>
      <c r="AF127" s="220">
        <v>0</v>
      </c>
      <c r="AG127" s="220">
        <v>0</v>
      </c>
      <c r="AH127" s="220">
        <v>0</v>
      </c>
      <c r="AI127" s="220">
        <v>0</v>
      </c>
      <c r="AJ127" s="234">
        <v>0</v>
      </c>
      <c r="AK127" s="234">
        <v>7</v>
      </c>
      <c r="AL127" s="234">
        <v>6</v>
      </c>
      <c r="AM127" s="234">
        <v>1</v>
      </c>
      <c r="AN127" s="234">
        <v>0</v>
      </c>
      <c r="AO127" s="146" t="s">
        <v>206</v>
      </c>
      <c r="AP127" s="63"/>
    </row>
    <row r="128" spans="1:42" s="20" customFormat="1" ht="21.75" customHeight="1" x14ac:dyDescent="0.2">
      <c r="A128" s="221" t="s">
        <v>0</v>
      </c>
      <c r="B128" s="276"/>
      <c r="C128" s="139">
        <f t="shared" ref="C128:AN128" si="76">C100+C20+C46+C73+C90+C106+C6+C108+C121</f>
        <v>0</v>
      </c>
      <c r="D128" s="139">
        <f t="shared" si="76"/>
        <v>17</v>
      </c>
      <c r="E128" s="139">
        <f t="shared" si="76"/>
        <v>75</v>
      </c>
      <c r="F128" s="139">
        <f t="shared" si="76"/>
        <v>43</v>
      </c>
      <c r="G128" s="139">
        <f t="shared" si="76"/>
        <v>0</v>
      </c>
      <c r="H128" s="139">
        <f t="shared" si="76"/>
        <v>3</v>
      </c>
      <c r="I128" s="139">
        <f t="shared" si="76"/>
        <v>145</v>
      </c>
      <c r="J128" s="139">
        <f t="shared" si="76"/>
        <v>322</v>
      </c>
      <c r="K128" s="139">
        <f t="shared" si="76"/>
        <v>605</v>
      </c>
      <c r="L128" s="139">
        <f t="shared" si="76"/>
        <v>18</v>
      </c>
      <c r="M128" s="139">
        <f t="shared" si="76"/>
        <v>587</v>
      </c>
      <c r="N128" s="222">
        <f t="shared" si="76"/>
        <v>9877.0749999999989</v>
      </c>
      <c r="O128" s="222">
        <f t="shared" si="76"/>
        <v>571.28211111111113</v>
      </c>
      <c r="P128" s="222">
        <f t="shared" si="76"/>
        <v>10448.35711111111</v>
      </c>
      <c r="Q128" s="139">
        <f t="shared" si="76"/>
        <v>433.34236592592595</v>
      </c>
      <c r="R128" s="222">
        <f t="shared" si="76"/>
        <v>11617.774966666666</v>
      </c>
      <c r="S128" s="139">
        <f t="shared" si="76"/>
        <v>485.52903422222221</v>
      </c>
      <c r="T128" s="222">
        <f t="shared" si="76"/>
        <v>15755</v>
      </c>
      <c r="U128" s="222">
        <f t="shared" si="76"/>
        <v>459</v>
      </c>
      <c r="V128" s="222">
        <f t="shared" si="76"/>
        <v>16214</v>
      </c>
      <c r="W128" s="222">
        <f t="shared" si="76"/>
        <v>8107</v>
      </c>
      <c r="X128" s="139">
        <f t="shared" si="76"/>
        <v>483.14523809523808</v>
      </c>
      <c r="Y128" s="139">
        <f t="shared" si="76"/>
        <v>579.07142857142856</v>
      </c>
      <c r="Z128" s="223">
        <f t="shared" si="76"/>
        <v>-146.53513407407408</v>
      </c>
      <c r="AA128" s="223">
        <f t="shared" si="76"/>
        <v>-93.997619047619054</v>
      </c>
      <c r="AB128" s="223">
        <f t="shared" si="76"/>
        <v>45.928571428571431</v>
      </c>
      <c r="AC128" s="139">
        <f t="shared" si="76"/>
        <v>423</v>
      </c>
      <c r="AD128" s="139">
        <f t="shared" si="76"/>
        <v>67.455085069444436</v>
      </c>
      <c r="AE128" s="139">
        <f t="shared" si="76"/>
        <v>9</v>
      </c>
      <c r="AF128" s="139">
        <f t="shared" si="76"/>
        <v>7</v>
      </c>
      <c r="AG128" s="139">
        <f t="shared" si="76"/>
        <v>11</v>
      </c>
      <c r="AH128" s="139">
        <f t="shared" si="76"/>
        <v>8</v>
      </c>
      <c r="AI128" s="139">
        <f t="shared" si="76"/>
        <v>7</v>
      </c>
      <c r="AJ128" s="139">
        <f t="shared" si="76"/>
        <v>0</v>
      </c>
      <c r="AK128" s="139">
        <f t="shared" si="76"/>
        <v>24</v>
      </c>
      <c r="AL128" s="139">
        <f t="shared" si="76"/>
        <v>26</v>
      </c>
      <c r="AM128" s="139">
        <f t="shared" si="76"/>
        <v>16</v>
      </c>
      <c r="AN128" s="139">
        <f t="shared" si="76"/>
        <v>9</v>
      </c>
      <c r="AO128" s="221"/>
      <c r="AP128" s="224"/>
    </row>
    <row r="129" spans="1:42" ht="21.75" customHeight="1" x14ac:dyDescent="0.2">
      <c r="A129" s="225" t="s">
        <v>250</v>
      </c>
      <c r="B129" s="277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50"/>
      <c r="N129" s="227"/>
      <c r="O129" s="228"/>
      <c r="P129" s="227"/>
      <c r="Q129" s="228"/>
      <c r="R129" s="228"/>
      <c r="S129" s="228"/>
      <c r="T129" s="226"/>
      <c r="U129" s="226"/>
      <c r="V129" s="226"/>
      <c r="W129" s="226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9"/>
      <c r="AP129" s="63"/>
    </row>
    <row r="130" spans="1:42" x14ac:dyDescent="0.2">
      <c r="A130" s="6"/>
      <c r="B130" s="278"/>
      <c r="P130" s="34"/>
      <c r="X130" s="2"/>
      <c r="AC130" s="34"/>
      <c r="AD130" s="34"/>
      <c r="AE130" s="4"/>
      <c r="AF130" s="4"/>
      <c r="AG130" s="4"/>
      <c r="AH130" s="5"/>
      <c r="AI130" s="5"/>
      <c r="AJ130" s="4"/>
      <c r="AK130" s="4"/>
      <c r="AL130" s="4"/>
      <c r="AM130" s="4"/>
      <c r="AN130" s="5"/>
      <c r="AO130" s="5"/>
    </row>
    <row r="131" spans="1:42" x14ac:dyDescent="0.2">
      <c r="X131" s="2"/>
      <c r="AC131" s="34"/>
      <c r="AD131" s="34"/>
      <c r="AJ131" s="2"/>
      <c r="AK131" s="2"/>
      <c r="AL131" s="2"/>
      <c r="AM131" s="2"/>
      <c r="AN131" s="2"/>
    </row>
  </sheetData>
  <mergeCells count="56">
    <mergeCell ref="A55:A58"/>
    <mergeCell ref="A65:A67"/>
    <mergeCell ref="A77:A81"/>
    <mergeCell ref="A84:A85"/>
    <mergeCell ref="A88:A89"/>
    <mergeCell ref="A101:A103"/>
    <mergeCell ref="A30:A33"/>
    <mergeCell ref="A35:A38"/>
    <mergeCell ref="A39:A41"/>
    <mergeCell ref="A48:A50"/>
    <mergeCell ref="A51:A52"/>
    <mergeCell ref="A53:A54"/>
    <mergeCell ref="A13:A14"/>
    <mergeCell ref="A15:A16"/>
    <mergeCell ref="AG4:AG5"/>
    <mergeCell ref="AH4:AH5"/>
    <mergeCell ref="AE4:AE5"/>
    <mergeCell ref="AF4:AF5"/>
    <mergeCell ref="AC3:AC5"/>
    <mergeCell ref="AD3:AD5"/>
    <mergeCell ref="W3:W5"/>
    <mergeCell ref="X3:X5"/>
    <mergeCell ref="Y3:Y5"/>
    <mergeCell ref="Z3:AB3"/>
    <mergeCell ref="A7:A8"/>
    <mergeCell ref="A11:A12"/>
    <mergeCell ref="M3:M5"/>
    <mergeCell ref="N3:P3"/>
    <mergeCell ref="Q3:Q5"/>
    <mergeCell ref="R3:R5"/>
    <mergeCell ref="P4:P5"/>
    <mergeCell ref="T4:T5"/>
    <mergeCell ref="A1:AO1"/>
    <mergeCell ref="A2:AO2"/>
    <mergeCell ref="A3:A5"/>
    <mergeCell ref="B3:B5"/>
    <mergeCell ref="C3:K3"/>
    <mergeCell ref="L3:L5"/>
    <mergeCell ref="AO3:AO5"/>
    <mergeCell ref="C4:F4"/>
    <mergeCell ref="G4:J4"/>
    <mergeCell ref="K4:K5"/>
    <mergeCell ref="N4:N5"/>
    <mergeCell ref="O4:O5"/>
    <mergeCell ref="U4:U5"/>
    <mergeCell ref="V4:V5"/>
    <mergeCell ref="S3:S5"/>
    <mergeCell ref="T3:V3"/>
    <mergeCell ref="AE3:AI3"/>
    <mergeCell ref="AJ3:AN3"/>
    <mergeCell ref="AM4:AM5"/>
    <mergeCell ref="AN4:AN5"/>
    <mergeCell ref="AI4:AI5"/>
    <mergeCell ref="AJ4:AJ5"/>
    <mergeCell ref="AK4:AK5"/>
    <mergeCell ref="AL4:AL5"/>
  </mergeCells>
  <printOptions horizontalCentered="1"/>
  <pageMargins left="0.25" right="0.25" top="0.75" bottom="0.75" header="0.3" footer="0.3"/>
  <pageSetup paperSize="5" scale="43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Z109"/>
  <sheetViews>
    <sheetView view="pageBreakPreview" zoomScale="70" zoomScaleNormal="100" zoomScaleSheetLayoutView="70" zoomScalePageLayoutView="40" workbookViewId="0">
      <pane xSplit="1" topLeftCell="B1" activePane="topRight" state="frozen"/>
      <selection activeCell="U9" sqref="U9"/>
      <selection pane="topRight" activeCell="U9" sqref="U9"/>
    </sheetView>
  </sheetViews>
  <sheetFormatPr defaultColWidth="8.375" defaultRowHeight="14.25" x14ac:dyDescent="0.2"/>
  <cols>
    <col min="1" max="1" width="37.75" style="2" bestFit="1" customWidth="1"/>
    <col min="2" max="2" width="33.25" style="13" bestFit="1" customWidth="1"/>
    <col min="3" max="3" width="3.625" style="3" customWidth="1"/>
    <col min="4" max="4" width="4" style="3" customWidth="1"/>
    <col min="5" max="5" width="3.75" style="3" bestFit="1" customWidth="1"/>
    <col min="6" max="6" width="3.375" style="3" bestFit="1" customWidth="1"/>
    <col min="7" max="7" width="3.75" style="3" customWidth="1"/>
    <col min="8" max="8" width="4.25" style="3" customWidth="1"/>
    <col min="9" max="10" width="4.375" style="3" bestFit="1" customWidth="1"/>
    <col min="11" max="11" width="7" style="41" bestFit="1" customWidth="1"/>
    <col min="12" max="12" width="9.625" style="41" customWidth="1"/>
    <col min="13" max="13" width="11.625" style="41" customWidth="1"/>
    <col min="14" max="14" width="10.375" style="3" customWidth="1"/>
    <col min="15" max="15" width="12.625" style="3" customWidth="1"/>
    <col min="16" max="25" width="4.625" style="2" bestFit="1" customWidth="1"/>
    <col min="26" max="16384" width="8.375" style="2"/>
  </cols>
  <sheetData>
    <row r="1" spans="1:25" ht="28.5" customHeight="1" x14ac:dyDescent="0.2">
      <c r="A1" s="417" t="s">
        <v>276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5" s="1" customFormat="1" ht="45" customHeight="1" x14ac:dyDescent="0.2">
      <c r="A2" s="418" t="s">
        <v>278</v>
      </c>
      <c r="B2" s="418" t="s">
        <v>142</v>
      </c>
      <c r="C2" s="419" t="s">
        <v>143</v>
      </c>
      <c r="D2" s="420"/>
      <c r="E2" s="420"/>
      <c r="F2" s="420"/>
      <c r="G2" s="420"/>
      <c r="H2" s="420"/>
      <c r="I2" s="420"/>
      <c r="J2" s="420"/>
      <c r="K2" s="420"/>
      <c r="L2" s="421" t="s">
        <v>144</v>
      </c>
      <c r="M2" s="424" t="s">
        <v>145</v>
      </c>
      <c r="N2" s="403" t="s">
        <v>165</v>
      </c>
      <c r="O2" s="403" t="s">
        <v>166</v>
      </c>
      <c r="P2" s="406" t="s">
        <v>167</v>
      </c>
      <c r="Q2" s="407"/>
      <c r="R2" s="407"/>
      <c r="S2" s="407"/>
      <c r="T2" s="408"/>
      <c r="U2" s="411" t="s">
        <v>168</v>
      </c>
      <c r="V2" s="412"/>
      <c r="W2" s="412"/>
      <c r="X2" s="412"/>
      <c r="Y2" s="413"/>
    </row>
    <row r="3" spans="1:25" s="1" customFormat="1" ht="20.25" customHeight="1" x14ac:dyDescent="0.2">
      <c r="A3" s="418"/>
      <c r="B3" s="418"/>
      <c r="C3" s="425" t="s">
        <v>1</v>
      </c>
      <c r="D3" s="425"/>
      <c r="E3" s="425"/>
      <c r="F3" s="425"/>
      <c r="G3" s="425" t="s">
        <v>2</v>
      </c>
      <c r="H3" s="425"/>
      <c r="I3" s="425"/>
      <c r="J3" s="425"/>
      <c r="K3" s="416" t="s">
        <v>0</v>
      </c>
      <c r="L3" s="422"/>
      <c r="M3" s="424"/>
      <c r="N3" s="404"/>
      <c r="O3" s="404"/>
      <c r="P3" s="414">
        <v>2564</v>
      </c>
      <c r="Q3" s="414">
        <v>2565</v>
      </c>
      <c r="R3" s="414">
        <v>2566</v>
      </c>
      <c r="S3" s="414">
        <v>2567</v>
      </c>
      <c r="T3" s="414">
        <v>2568</v>
      </c>
      <c r="U3" s="409">
        <v>2564</v>
      </c>
      <c r="V3" s="409">
        <v>2565</v>
      </c>
      <c r="W3" s="409">
        <v>2566</v>
      </c>
      <c r="X3" s="409">
        <v>2567</v>
      </c>
      <c r="Y3" s="409">
        <v>2568</v>
      </c>
    </row>
    <row r="4" spans="1:25" s="1" customFormat="1" ht="21.75" x14ac:dyDescent="0.2">
      <c r="A4" s="418"/>
      <c r="B4" s="418"/>
      <c r="C4" s="25" t="s">
        <v>5</v>
      </c>
      <c r="D4" s="25" t="s">
        <v>6</v>
      </c>
      <c r="E4" s="25" t="s">
        <v>7</v>
      </c>
      <c r="F4" s="25" t="s">
        <v>8</v>
      </c>
      <c r="G4" s="25" t="s">
        <v>5</v>
      </c>
      <c r="H4" s="25" t="s">
        <v>6</v>
      </c>
      <c r="I4" s="25" t="s">
        <v>7</v>
      </c>
      <c r="J4" s="25" t="s">
        <v>8</v>
      </c>
      <c r="K4" s="416"/>
      <c r="L4" s="423"/>
      <c r="M4" s="424"/>
      <c r="N4" s="405"/>
      <c r="O4" s="405"/>
      <c r="P4" s="415"/>
      <c r="Q4" s="415"/>
      <c r="R4" s="415"/>
      <c r="S4" s="415"/>
      <c r="T4" s="415"/>
      <c r="U4" s="410"/>
      <c r="V4" s="410"/>
      <c r="W4" s="410"/>
      <c r="X4" s="410"/>
      <c r="Y4" s="410"/>
    </row>
    <row r="5" spans="1:25" s="284" customFormat="1" ht="21.95" customHeight="1" x14ac:dyDescent="0.2">
      <c r="A5" s="64" t="s">
        <v>45</v>
      </c>
      <c r="B5" s="282"/>
      <c r="C5" s="153">
        <f t="shared" ref="C5:M5" si="0">SUM(C6:C17)</f>
        <v>0</v>
      </c>
      <c r="D5" s="153">
        <f t="shared" si="0"/>
        <v>3</v>
      </c>
      <c r="E5" s="153">
        <f t="shared" si="0"/>
        <v>19</v>
      </c>
      <c r="F5" s="153">
        <f t="shared" si="0"/>
        <v>4</v>
      </c>
      <c r="G5" s="153">
        <f t="shared" si="0"/>
        <v>0</v>
      </c>
      <c r="H5" s="153">
        <f t="shared" si="0"/>
        <v>0</v>
      </c>
      <c r="I5" s="153">
        <f t="shared" si="0"/>
        <v>15</v>
      </c>
      <c r="J5" s="153">
        <f t="shared" si="0"/>
        <v>22</v>
      </c>
      <c r="K5" s="153">
        <f t="shared" si="0"/>
        <v>63</v>
      </c>
      <c r="L5" s="153">
        <f t="shared" si="0"/>
        <v>1</v>
      </c>
      <c r="M5" s="153">
        <f t="shared" si="0"/>
        <v>62</v>
      </c>
      <c r="N5" s="283">
        <f t="shared" ref="N5:Y5" si="1">SUM(N6:N18)</f>
        <v>35.678027777777757</v>
      </c>
      <c r="O5" s="283">
        <f t="shared" si="1"/>
        <v>76.142857142857153</v>
      </c>
      <c r="P5" s="153">
        <f t="shared" si="1"/>
        <v>1</v>
      </c>
      <c r="Q5" s="153">
        <f t="shared" si="1"/>
        <v>1</v>
      </c>
      <c r="R5" s="153">
        <f t="shared" si="1"/>
        <v>5</v>
      </c>
      <c r="S5" s="153">
        <f t="shared" si="1"/>
        <v>1</v>
      </c>
      <c r="T5" s="153">
        <f t="shared" si="1"/>
        <v>0</v>
      </c>
      <c r="U5" s="153">
        <f t="shared" si="1"/>
        <v>0</v>
      </c>
      <c r="V5" s="153">
        <f t="shared" si="1"/>
        <v>0</v>
      </c>
      <c r="W5" s="153">
        <f t="shared" si="1"/>
        <v>0</v>
      </c>
      <c r="X5" s="153">
        <f t="shared" si="1"/>
        <v>0</v>
      </c>
      <c r="Y5" s="153">
        <f t="shared" si="1"/>
        <v>0</v>
      </c>
    </row>
    <row r="6" spans="1:25" s="7" customFormat="1" ht="21.95" customHeight="1" x14ac:dyDescent="0.2">
      <c r="A6" s="348" t="s">
        <v>44</v>
      </c>
      <c r="B6" s="74" t="s">
        <v>18</v>
      </c>
      <c r="C6" s="75" t="s">
        <v>38</v>
      </c>
      <c r="D6" s="75" t="s">
        <v>38</v>
      </c>
      <c r="E6" s="75">
        <v>2</v>
      </c>
      <c r="F6" s="75" t="s">
        <v>38</v>
      </c>
      <c r="G6" s="76" t="s">
        <v>38</v>
      </c>
      <c r="H6" s="76" t="s">
        <v>38</v>
      </c>
      <c r="I6" s="76">
        <v>1</v>
      </c>
      <c r="J6" s="77" t="s">
        <v>38</v>
      </c>
      <c r="K6" s="78">
        <f t="shared" ref="K6:K17" si="2">SUM(D6:J6)</f>
        <v>3</v>
      </c>
      <c r="L6" s="79">
        <f>-L7</f>
        <v>0</v>
      </c>
      <c r="M6" s="236">
        <f t="shared" ref="M6:M18" si="3">K6-L6</f>
        <v>3</v>
      </c>
      <c r="N6" s="26">
        <f>'ไฟล์ต้น (2)'!S7</f>
        <v>0.90299999999999792</v>
      </c>
      <c r="O6" s="26">
        <f>'ไฟล์ต้น (2)'!Y7</f>
        <v>1.1428571428571428</v>
      </c>
      <c r="P6" s="24" t="s">
        <v>38</v>
      </c>
      <c r="Q6" s="24" t="s">
        <v>38</v>
      </c>
      <c r="R6" s="24">
        <v>2</v>
      </c>
      <c r="S6" s="24" t="s">
        <v>38</v>
      </c>
      <c r="T6" s="24" t="s">
        <v>38</v>
      </c>
      <c r="U6" s="19" t="s">
        <v>38</v>
      </c>
      <c r="V6" s="19" t="s">
        <v>38</v>
      </c>
      <c r="W6" s="19" t="s">
        <v>38</v>
      </c>
      <c r="X6" s="19" t="s">
        <v>38</v>
      </c>
      <c r="Y6" s="19" t="s">
        <v>38</v>
      </c>
    </row>
    <row r="7" spans="1:25" s="17" customFormat="1" ht="21.95" customHeight="1" x14ac:dyDescent="0.2">
      <c r="A7" s="348"/>
      <c r="B7" s="74" t="s">
        <v>19</v>
      </c>
      <c r="C7" s="96" t="s">
        <v>38</v>
      </c>
      <c r="D7" s="96" t="s">
        <v>38</v>
      </c>
      <c r="E7" s="96">
        <v>1</v>
      </c>
      <c r="F7" s="96" t="s">
        <v>38</v>
      </c>
      <c r="G7" s="97" t="s">
        <v>38</v>
      </c>
      <c r="H7" s="97" t="s">
        <v>38</v>
      </c>
      <c r="I7" s="97">
        <v>1</v>
      </c>
      <c r="J7" s="97">
        <v>3</v>
      </c>
      <c r="K7" s="78">
        <f t="shared" si="2"/>
        <v>5</v>
      </c>
      <c r="L7" s="79">
        <v>0</v>
      </c>
      <c r="M7" s="236">
        <f t="shared" si="3"/>
        <v>5</v>
      </c>
      <c r="N7" s="26">
        <f>'ไฟล์ต้น (2)'!S8</f>
        <v>1.2494999999999978</v>
      </c>
      <c r="O7" s="26">
        <f>'ไฟล์ต้น (2)'!Y8</f>
        <v>12.821428571428571</v>
      </c>
      <c r="P7" s="24" t="s">
        <v>38</v>
      </c>
      <c r="Q7" s="24" t="s">
        <v>38</v>
      </c>
      <c r="R7" s="24" t="s">
        <v>38</v>
      </c>
      <c r="S7" s="24" t="s">
        <v>38</v>
      </c>
      <c r="T7" s="24" t="s">
        <v>38</v>
      </c>
      <c r="U7" s="19" t="s">
        <v>38</v>
      </c>
      <c r="V7" s="19" t="s">
        <v>38</v>
      </c>
      <c r="W7" s="19" t="s">
        <v>38</v>
      </c>
      <c r="X7" s="19" t="s">
        <v>38</v>
      </c>
      <c r="Y7" s="19" t="s">
        <v>38</v>
      </c>
    </row>
    <row r="8" spans="1:25" s="7" customFormat="1" ht="21.95" customHeight="1" x14ac:dyDescent="0.2">
      <c r="A8" s="73" t="s">
        <v>46</v>
      </c>
      <c r="B8" s="102" t="s">
        <v>21</v>
      </c>
      <c r="C8" s="75" t="s">
        <v>38</v>
      </c>
      <c r="D8" s="75" t="s">
        <v>38</v>
      </c>
      <c r="E8" s="75">
        <v>3</v>
      </c>
      <c r="F8" s="75">
        <v>1</v>
      </c>
      <c r="G8" s="76" t="s">
        <v>38</v>
      </c>
      <c r="H8" s="76" t="s">
        <v>38</v>
      </c>
      <c r="I8" s="76">
        <v>3</v>
      </c>
      <c r="J8" s="97" t="s">
        <v>38</v>
      </c>
      <c r="K8" s="78">
        <f t="shared" si="2"/>
        <v>7</v>
      </c>
      <c r="L8" s="79">
        <v>0</v>
      </c>
      <c r="M8" s="236">
        <f t="shared" si="3"/>
        <v>7</v>
      </c>
      <c r="N8" s="26">
        <f>'ไฟล์ต้น (2)'!S9</f>
        <v>7.9955555555555398</v>
      </c>
      <c r="O8" s="26">
        <f>'ไฟล์ต้น (2)'!Y9</f>
        <v>7.3928571428571432</v>
      </c>
      <c r="P8" s="24" t="s">
        <v>38</v>
      </c>
      <c r="Q8" s="24" t="s">
        <v>38</v>
      </c>
      <c r="R8" s="24">
        <v>1</v>
      </c>
      <c r="S8" s="24">
        <v>1</v>
      </c>
      <c r="T8" s="24" t="s">
        <v>38</v>
      </c>
      <c r="U8" s="19" t="s">
        <v>38</v>
      </c>
      <c r="V8" s="19" t="s">
        <v>38</v>
      </c>
      <c r="W8" s="19" t="s">
        <v>38</v>
      </c>
      <c r="X8" s="19" t="s">
        <v>38</v>
      </c>
      <c r="Y8" s="19" t="s">
        <v>38</v>
      </c>
    </row>
    <row r="9" spans="1:25" s="17" customFormat="1" ht="21.95" customHeight="1" x14ac:dyDescent="0.2">
      <c r="A9" s="104" t="s">
        <v>225</v>
      </c>
      <c r="B9" s="74" t="s">
        <v>21</v>
      </c>
      <c r="C9" s="75" t="s">
        <v>38</v>
      </c>
      <c r="D9" s="75" t="s">
        <v>38</v>
      </c>
      <c r="E9" s="75">
        <v>2</v>
      </c>
      <c r="F9" s="75">
        <v>2</v>
      </c>
      <c r="G9" s="76" t="s">
        <v>38</v>
      </c>
      <c r="H9" s="76" t="s">
        <v>38</v>
      </c>
      <c r="I9" s="76">
        <v>1</v>
      </c>
      <c r="J9" s="77">
        <v>4</v>
      </c>
      <c r="K9" s="78">
        <f t="shared" si="2"/>
        <v>9</v>
      </c>
      <c r="L9" s="79">
        <v>0</v>
      </c>
      <c r="M9" s="236">
        <f t="shared" si="3"/>
        <v>9</v>
      </c>
      <c r="N9" s="26">
        <f>'ไฟล์ต้น (2)'!S10</f>
        <v>4.4206944444444449</v>
      </c>
      <c r="O9" s="26">
        <f>'ไฟล์ต้น (2)'!Y10</f>
        <v>7.8928571428571432</v>
      </c>
      <c r="P9" s="24" t="s">
        <v>38</v>
      </c>
      <c r="Q9" s="24" t="s">
        <v>38</v>
      </c>
      <c r="R9" s="24" t="s">
        <v>38</v>
      </c>
      <c r="S9" s="24" t="s">
        <v>38</v>
      </c>
      <c r="T9" s="24" t="s">
        <v>38</v>
      </c>
      <c r="U9" s="19" t="s">
        <v>38</v>
      </c>
      <c r="V9" s="19" t="s">
        <v>38</v>
      </c>
      <c r="W9" s="19" t="s">
        <v>38</v>
      </c>
      <c r="X9" s="19" t="s">
        <v>38</v>
      </c>
      <c r="Y9" s="19" t="s">
        <v>38</v>
      </c>
    </row>
    <row r="10" spans="1:25" s="10" customFormat="1" ht="21.95" customHeight="1" x14ac:dyDescent="0.2">
      <c r="A10" s="348" t="s">
        <v>48</v>
      </c>
      <c r="B10" s="74" t="s">
        <v>128</v>
      </c>
      <c r="C10" s="105" t="s">
        <v>38</v>
      </c>
      <c r="D10" s="96">
        <v>1</v>
      </c>
      <c r="E10" s="96" t="s">
        <v>38</v>
      </c>
      <c r="F10" s="96" t="s">
        <v>38</v>
      </c>
      <c r="G10" s="106" t="s">
        <v>38</v>
      </c>
      <c r="H10" s="76" t="s">
        <v>38</v>
      </c>
      <c r="I10" s="76" t="s">
        <v>38</v>
      </c>
      <c r="J10" s="77" t="s">
        <v>38</v>
      </c>
      <c r="K10" s="78">
        <f t="shared" si="2"/>
        <v>1</v>
      </c>
      <c r="L10" s="79">
        <v>0</v>
      </c>
      <c r="M10" s="236">
        <f t="shared" si="3"/>
        <v>1</v>
      </c>
      <c r="N10" s="26">
        <f>'ไฟล์ต้น (2)'!S11</f>
        <v>0.92137499999999994</v>
      </c>
      <c r="O10" s="26">
        <f>'ไฟล์ต้น (2)'!Y11</f>
        <v>1.1428571428571428</v>
      </c>
      <c r="P10" s="24" t="s">
        <v>38</v>
      </c>
      <c r="Q10" s="24" t="s">
        <v>38</v>
      </c>
      <c r="R10" s="24" t="s">
        <v>38</v>
      </c>
      <c r="S10" s="24" t="s">
        <v>38</v>
      </c>
      <c r="T10" s="24" t="s">
        <v>38</v>
      </c>
      <c r="U10" s="19" t="s">
        <v>38</v>
      </c>
      <c r="V10" s="19" t="s">
        <v>38</v>
      </c>
      <c r="W10" s="19" t="s">
        <v>38</v>
      </c>
      <c r="X10" s="19" t="s">
        <v>38</v>
      </c>
      <c r="Y10" s="19" t="s">
        <v>38</v>
      </c>
    </row>
    <row r="11" spans="1:25" s="17" customFormat="1" ht="21.95" customHeight="1" x14ac:dyDescent="0.2">
      <c r="A11" s="348"/>
      <c r="B11" s="74" t="s">
        <v>21</v>
      </c>
      <c r="C11" s="105" t="s">
        <v>38</v>
      </c>
      <c r="D11" s="105" t="s">
        <v>38</v>
      </c>
      <c r="E11" s="105">
        <v>2</v>
      </c>
      <c r="F11" s="105">
        <v>1</v>
      </c>
      <c r="G11" s="106" t="s">
        <v>38</v>
      </c>
      <c r="H11" s="76" t="s">
        <v>38</v>
      </c>
      <c r="I11" s="76">
        <v>1</v>
      </c>
      <c r="J11" s="76">
        <v>4</v>
      </c>
      <c r="K11" s="108">
        <f t="shared" si="2"/>
        <v>8</v>
      </c>
      <c r="L11" s="79">
        <v>0</v>
      </c>
      <c r="M11" s="236">
        <f t="shared" si="3"/>
        <v>8</v>
      </c>
      <c r="N11" s="26">
        <f>'ไฟล์ต้น (2)'!S12</f>
        <v>2.4626388888888888</v>
      </c>
      <c r="O11" s="26">
        <f>'ไฟล์ต้น (2)'!Y12</f>
        <v>6.9285714285714288</v>
      </c>
      <c r="P11" s="24" t="s">
        <v>38</v>
      </c>
      <c r="Q11" s="24">
        <v>1</v>
      </c>
      <c r="R11" s="24">
        <v>1</v>
      </c>
      <c r="S11" s="24" t="s">
        <v>38</v>
      </c>
      <c r="T11" s="24" t="s">
        <v>38</v>
      </c>
      <c r="U11" s="19" t="s">
        <v>38</v>
      </c>
      <c r="V11" s="19" t="s">
        <v>38</v>
      </c>
      <c r="W11" s="19" t="s">
        <v>38</v>
      </c>
      <c r="X11" s="19" t="s">
        <v>38</v>
      </c>
      <c r="Y11" s="19" t="s">
        <v>38</v>
      </c>
    </row>
    <row r="12" spans="1:25" s="7" customFormat="1" ht="21.95" customHeight="1" x14ac:dyDescent="0.2">
      <c r="A12" s="348" t="s">
        <v>49</v>
      </c>
      <c r="B12" s="102" t="s">
        <v>19</v>
      </c>
      <c r="C12" s="75" t="s">
        <v>38</v>
      </c>
      <c r="D12" s="75" t="s">
        <v>38</v>
      </c>
      <c r="E12" s="75">
        <v>1</v>
      </c>
      <c r="F12" s="75" t="s">
        <v>38</v>
      </c>
      <c r="G12" s="76" t="s">
        <v>38</v>
      </c>
      <c r="H12" s="76" t="s">
        <v>38</v>
      </c>
      <c r="I12" s="76">
        <v>2</v>
      </c>
      <c r="J12" s="76" t="s">
        <v>38</v>
      </c>
      <c r="K12" s="108">
        <f t="shared" si="2"/>
        <v>3</v>
      </c>
      <c r="L12" s="79">
        <v>0</v>
      </c>
      <c r="M12" s="236">
        <f t="shared" si="3"/>
        <v>3</v>
      </c>
      <c r="N12" s="26">
        <f>'ไฟล์ต้น (2)'!S13</f>
        <v>0.5249999999999998</v>
      </c>
      <c r="O12" s="26">
        <f>'ไฟล์ต้น (2)'!Y13</f>
        <v>0.2857142857142857</v>
      </c>
      <c r="P12" s="24" t="s">
        <v>38</v>
      </c>
      <c r="Q12" s="24" t="s">
        <v>38</v>
      </c>
      <c r="R12" s="24">
        <v>1</v>
      </c>
      <c r="S12" s="24" t="s">
        <v>38</v>
      </c>
      <c r="T12" s="24" t="s">
        <v>38</v>
      </c>
      <c r="U12" s="19" t="s">
        <v>38</v>
      </c>
      <c r="V12" s="19" t="s">
        <v>38</v>
      </c>
      <c r="W12" s="19" t="s">
        <v>38</v>
      </c>
      <c r="X12" s="19" t="s">
        <v>38</v>
      </c>
      <c r="Y12" s="19" t="s">
        <v>38</v>
      </c>
    </row>
    <row r="13" spans="1:25" s="17" customFormat="1" ht="21.95" customHeight="1" x14ac:dyDescent="0.2">
      <c r="A13" s="348"/>
      <c r="B13" s="74" t="s">
        <v>21</v>
      </c>
      <c r="C13" s="75" t="s">
        <v>38</v>
      </c>
      <c r="D13" s="75" t="s">
        <v>38</v>
      </c>
      <c r="E13" s="75" t="s">
        <v>38</v>
      </c>
      <c r="F13" s="75" t="s">
        <v>38</v>
      </c>
      <c r="G13" s="76" t="s">
        <v>38</v>
      </c>
      <c r="H13" s="76" t="s">
        <v>38</v>
      </c>
      <c r="I13" s="76">
        <v>2</v>
      </c>
      <c r="J13" s="76">
        <v>4</v>
      </c>
      <c r="K13" s="108">
        <f t="shared" si="2"/>
        <v>6</v>
      </c>
      <c r="L13" s="79">
        <v>1</v>
      </c>
      <c r="M13" s="236">
        <f t="shared" si="3"/>
        <v>5</v>
      </c>
      <c r="N13" s="26">
        <f>'ไฟล์ต้น (2)'!S14</f>
        <v>3.271527777777778</v>
      </c>
      <c r="O13" s="26">
        <f>'ไฟล์ต้น (2)'!Y14</f>
        <v>9.6785714285714288</v>
      </c>
      <c r="P13" s="24" t="s">
        <v>38</v>
      </c>
      <c r="Q13" s="24" t="s">
        <v>38</v>
      </c>
      <c r="R13" s="24" t="s">
        <v>38</v>
      </c>
      <c r="S13" s="24" t="s">
        <v>38</v>
      </c>
      <c r="T13" s="24" t="s">
        <v>38</v>
      </c>
      <c r="U13" s="19" t="s">
        <v>38</v>
      </c>
      <c r="V13" s="19" t="s">
        <v>38</v>
      </c>
      <c r="W13" s="19" t="s">
        <v>38</v>
      </c>
      <c r="X13" s="19" t="s">
        <v>38</v>
      </c>
      <c r="Y13" s="19" t="s">
        <v>38</v>
      </c>
    </row>
    <row r="14" spans="1:25" s="7" customFormat="1" ht="21.95" customHeight="1" x14ac:dyDescent="0.2">
      <c r="A14" s="348" t="s">
        <v>50</v>
      </c>
      <c r="B14" s="102" t="s">
        <v>18</v>
      </c>
      <c r="C14" s="75" t="s">
        <v>38</v>
      </c>
      <c r="D14" s="75" t="s">
        <v>38</v>
      </c>
      <c r="E14" s="75">
        <v>1</v>
      </c>
      <c r="F14" s="75" t="s">
        <v>38</v>
      </c>
      <c r="G14" s="76" t="s">
        <v>38</v>
      </c>
      <c r="H14" s="76" t="s">
        <v>38</v>
      </c>
      <c r="I14" s="76" t="s">
        <v>38</v>
      </c>
      <c r="J14" s="76">
        <v>1</v>
      </c>
      <c r="K14" s="108">
        <f t="shared" si="2"/>
        <v>2</v>
      </c>
      <c r="L14" s="79">
        <v>0</v>
      </c>
      <c r="M14" s="236">
        <f t="shared" si="3"/>
        <v>2</v>
      </c>
      <c r="N14" s="26">
        <f>'ไฟล์ต้น (2)'!S15</f>
        <v>1.9530000000000001</v>
      </c>
      <c r="O14" s="26">
        <f>'ไฟล์ต้น (2)'!Y15</f>
        <v>1.4285714285714286</v>
      </c>
      <c r="P14" s="24">
        <v>1</v>
      </c>
      <c r="Q14" s="24" t="s">
        <v>38</v>
      </c>
      <c r="R14" s="24" t="s">
        <v>38</v>
      </c>
      <c r="S14" s="24" t="s">
        <v>38</v>
      </c>
      <c r="T14" s="24" t="s">
        <v>38</v>
      </c>
      <c r="U14" s="19" t="s">
        <v>38</v>
      </c>
      <c r="V14" s="19" t="s">
        <v>38</v>
      </c>
      <c r="W14" s="19" t="s">
        <v>38</v>
      </c>
      <c r="X14" s="19" t="s">
        <v>38</v>
      </c>
      <c r="Y14" s="19" t="s">
        <v>38</v>
      </c>
    </row>
    <row r="15" spans="1:25" s="17" customFormat="1" ht="21.95" customHeight="1" x14ac:dyDescent="0.2">
      <c r="A15" s="348"/>
      <c r="B15" s="74" t="s">
        <v>19</v>
      </c>
      <c r="C15" s="75" t="s">
        <v>38</v>
      </c>
      <c r="D15" s="75">
        <v>1</v>
      </c>
      <c r="E15" s="75">
        <v>2</v>
      </c>
      <c r="F15" s="75" t="s">
        <v>38</v>
      </c>
      <c r="G15" s="76" t="s">
        <v>38</v>
      </c>
      <c r="H15" s="76" t="s">
        <v>38</v>
      </c>
      <c r="I15" s="76">
        <v>1</v>
      </c>
      <c r="J15" s="76" t="s">
        <v>38</v>
      </c>
      <c r="K15" s="108">
        <f t="shared" si="2"/>
        <v>4</v>
      </c>
      <c r="L15" s="79">
        <v>0</v>
      </c>
      <c r="M15" s="236">
        <f t="shared" si="3"/>
        <v>4</v>
      </c>
      <c r="N15" s="26">
        <f>'ไฟล์ต้น (2)'!S16</f>
        <v>3.4282500000000025</v>
      </c>
      <c r="O15" s="26">
        <f>'ไฟล์ต้น (2)'!Y16</f>
        <v>11</v>
      </c>
      <c r="P15" s="24" t="s">
        <v>38</v>
      </c>
      <c r="Q15" s="24" t="s">
        <v>38</v>
      </c>
      <c r="R15" s="24" t="s">
        <v>38</v>
      </c>
      <c r="S15" s="24" t="s">
        <v>38</v>
      </c>
      <c r="T15" s="24" t="s">
        <v>38</v>
      </c>
      <c r="U15" s="19" t="s">
        <v>38</v>
      </c>
      <c r="V15" s="19" t="s">
        <v>38</v>
      </c>
      <c r="W15" s="19" t="s">
        <v>38</v>
      </c>
      <c r="X15" s="19" t="s">
        <v>38</v>
      </c>
      <c r="Y15" s="19" t="s">
        <v>38</v>
      </c>
    </row>
    <row r="16" spans="1:25" s="7" customFormat="1" ht="21.95" customHeight="1" x14ac:dyDescent="0.2">
      <c r="A16" s="73" t="s">
        <v>51</v>
      </c>
      <c r="B16" s="102" t="s">
        <v>21</v>
      </c>
      <c r="C16" s="75" t="s">
        <v>38</v>
      </c>
      <c r="D16" s="75" t="s">
        <v>38</v>
      </c>
      <c r="E16" s="75">
        <v>1</v>
      </c>
      <c r="F16" s="75" t="s">
        <v>38</v>
      </c>
      <c r="G16" s="76" t="s">
        <v>38</v>
      </c>
      <c r="H16" s="76" t="s">
        <v>38</v>
      </c>
      <c r="I16" s="76">
        <v>2</v>
      </c>
      <c r="J16" s="77">
        <v>4</v>
      </c>
      <c r="K16" s="78">
        <f t="shared" si="2"/>
        <v>7</v>
      </c>
      <c r="L16" s="79">
        <v>0</v>
      </c>
      <c r="M16" s="236">
        <f t="shared" si="3"/>
        <v>7</v>
      </c>
      <c r="N16" s="26">
        <f>'ไฟล์ต้น (2)'!S17</f>
        <v>7.8623611111111114</v>
      </c>
      <c r="O16" s="26">
        <f>'ไฟล์ต้น (2)'!Y17</f>
        <v>12.5</v>
      </c>
      <c r="P16" s="24" t="s">
        <v>38</v>
      </c>
      <c r="Q16" s="24" t="s">
        <v>38</v>
      </c>
      <c r="R16" s="24" t="s">
        <v>38</v>
      </c>
      <c r="S16" s="24" t="s">
        <v>38</v>
      </c>
      <c r="T16" s="24" t="s">
        <v>38</v>
      </c>
      <c r="U16" s="19" t="s">
        <v>38</v>
      </c>
      <c r="V16" s="19" t="s">
        <v>38</v>
      </c>
      <c r="W16" s="19" t="s">
        <v>38</v>
      </c>
      <c r="X16" s="19" t="s">
        <v>38</v>
      </c>
      <c r="Y16" s="19" t="s">
        <v>38</v>
      </c>
    </row>
    <row r="17" spans="1:25" s="17" customFormat="1" ht="21.95" customHeight="1" x14ac:dyDescent="0.2">
      <c r="A17" s="112" t="s">
        <v>52</v>
      </c>
      <c r="B17" s="74" t="s">
        <v>19</v>
      </c>
      <c r="C17" s="96" t="s">
        <v>38</v>
      </c>
      <c r="D17" s="96">
        <v>1</v>
      </c>
      <c r="E17" s="96">
        <v>4</v>
      </c>
      <c r="F17" s="96" t="s">
        <v>38</v>
      </c>
      <c r="G17" s="97" t="s">
        <v>38</v>
      </c>
      <c r="H17" s="97" t="s">
        <v>38</v>
      </c>
      <c r="I17" s="97">
        <v>1</v>
      </c>
      <c r="J17" s="97">
        <v>2</v>
      </c>
      <c r="K17" s="78">
        <f t="shared" si="2"/>
        <v>8</v>
      </c>
      <c r="L17" s="79">
        <v>0</v>
      </c>
      <c r="M17" s="236">
        <f t="shared" si="3"/>
        <v>8</v>
      </c>
      <c r="N17" s="26">
        <f>'ไฟล์ต้น (2)'!S18</f>
        <v>0.68512499999999998</v>
      </c>
      <c r="O17" s="26">
        <f>'ไฟล์ต้น (2)'!Y18</f>
        <v>3.9285714285714284</v>
      </c>
      <c r="P17" s="24" t="s">
        <v>38</v>
      </c>
      <c r="Q17" s="24" t="s">
        <v>38</v>
      </c>
      <c r="R17" s="24" t="s">
        <v>38</v>
      </c>
      <c r="S17" s="24" t="s">
        <v>38</v>
      </c>
      <c r="T17" s="24" t="s">
        <v>38</v>
      </c>
      <c r="U17" s="19" t="s">
        <v>38</v>
      </c>
      <c r="V17" s="19" t="s">
        <v>38</v>
      </c>
      <c r="W17" s="19" t="s">
        <v>38</v>
      </c>
      <c r="X17" s="19" t="s">
        <v>38</v>
      </c>
      <c r="Y17" s="19" t="s">
        <v>38</v>
      </c>
    </row>
    <row r="18" spans="1:25" s="10" customFormat="1" ht="21.95" customHeight="1" x14ac:dyDescent="0.2">
      <c r="A18" s="112" t="s">
        <v>53</v>
      </c>
      <c r="B18" s="74"/>
      <c r="C18" s="96" t="s">
        <v>38</v>
      </c>
      <c r="D18" s="96" t="s">
        <v>38</v>
      </c>
      <c r="E18" s="96" t="s">
        <v>38</v>
      </c>
      <c r="F18" s="96" t="s">
        <v>38</v>
      </c>
      <c r="G18" s="97" t="s">
        <v>38</v>
      </c>
      <c r="H18" s="97" t="s">
        <v>38</v>
      </c>
      <c r="I18" s="97" t="s">
        <v>38</v>
      </c>
      <c r="J18" s="97" t="s">
        <v>38</v>
      </c>
      <c r="K18" s="78"/>
      <c r="L18" s="79">
        <v>0</v>
      </c>
      <c r="M18" s="236">
        <f t="shared" si="3"/>
        <v>0</v>
      </c>
      <c r="N18" s="47" t="s">
        <v>38</v>
      </c>
      <c r="O18" s="26" t="str">
        <f>'ไฟล์ต้น (2)'!Y19</f>
        <v>-</v>
      </c>
      <c r="P18" s="51" t="s">
        <v>38</v>
      </c>
      <c r="Q18" s="51" t="s">
        <v>38</v>
      </c>
      <c r="R18" s="51" t="s">
        <v>38</v>
      </c>
      <c r="S18" s="51" t="s">
        <v>38</v>
      </c>
      <c r="T18" s="51" t="s">
        <v>38</v>
      </c>
      <c r="U18" s="19" t="s">
        <v>38</v>
      </c>
      <c r="V18" s="19" t="s">
        <v>38</v>
      </c>
      <c r="W18" s="19" t="s">
        <v>38</v>
      </c>
      <c r="X18" s="19" t="s">
        <v>38</v>
      </c>
      <c r="Y18" s="19" t="s">
        <v>38</v>
      </c>
    </row>
    <row r="19" spans="1:25" s="288" customFormat="1" ht="21.95" customHeight="1" x14ac:dyDescent="0.2">
      <c r="A19" s="64" t="s">
        <v>54</v>
      </c>
      <c r="B19" s="285"/>
      <c r="C19" s="286">
        <f>SUM(C20:C44)</f>
        <v>0</v>
      </c>
      <c r="D19" s="286">
        <f t="shared" ref="D19:M19" si="4">SUM(D20:D44)</f>
        <v>2</v>
      </c>
      <c r="E19" s="286">
        <f t="shared" si="4"/>
        <v>15</v>
      </c>
      <c r="F19" s="286">
        <f t="shared" si="4"/>
        <v>5</v>
      </c>
      <c r="G19" s="286">
        <f t="shared" si="4"/>
        <v>0</v>
      </c>
      <c r="H19" s="286">
        <f t="shared" si="4"/>
        <v>0</v>
      </c>
      <c r="I19" s="286">
        <f t="shared" si="4"/>
        <v>48</v>
      </c>
      <c r="J19" s="286">
        <f t="shared" si="4"/>
        <v>85</v>
      </c>
      <c r="K19" s="286">
        <f t="shared" si="4"/>
        <v>155</v>
      </c>
      <c r="L19" s="286">
        <f t="shared" si="4"/>
        <v>3</v>
      </c>
      <c r="M19" s="286">
        <f t="shared" si="4"/>
        <v>152</v>
      </c>
      <c r="N19" s="287">
        <f t="shared" ref="N19:Y19" si="5">SUM(N20:N44)</f>
        <v>167.00847027777775</v>
      </c>
      <c r="O19" s="287">
        <f t="shared" si="5"/>
        <v>197.32142857142861</v>
      </c>
      <c r="P19" s="286">
        <f t="shared" si="5"/>
        <v>3</v>
      </c>
      <c r="Q19" s="286">
        <f t="shared" si="5"/>
        <v>2</v>
      </c>
      <c r="R19" s="286">
        <f t="shared" si="5"/>
        <v>2</v>
      </c>
      <c r="S19" s="286">
        <f t="shared" si="5"/>
        <v>2</v>
      </c>
      <c r="T19" s="286">
        <f t="shared" si="5"/>
        <v>5</v>
      </c>
      <c r="U19" s="286">
        <f t="shared" si="5"/>
        <v>0</v>
      </c>
      <c r="V19" s="286">
        <f t="shared" si="5"/>
        <v>2</v>
      </c>
      <c r="W19" s="286">
        <f t="shared" si="5"/>
        <v>0</v>
      </c>
      <c r="X19" s="286">
        <f t="shared" si="5"/>
        <v>0</v>
      </c>
      <c r="Y19" s="286">
        <f t="shared" si="5"/>
        <v>0</v>
      </c>
    </row>
    <row r="20" spans="1:25" s="7" customFormat="1" ht="21.95" customHeight="1" x14ac:dyDescent="0.2">
      <c r="A20" s="123" t="s">
        <v>55</v>
      </c>
      <c r="B20" s="102" t="s">
        <v>21</v>
      </c>
      <c r="C20" s="96" t="s">
        <v>38</v>
      </c>
      <c r="D20" s="96" t="s">
        <v>38</v>
      </c>
      <c r="E20" s="96" t="s">
        <v>38</v>
      </c>
      <c r="F20" s="96" t="s">
        <v>38</v>
      </c>
      <c r="G20" s="97" t="s">
        <v>38</v>
      </c>
      <c r="H20" s="97" t="s">
        <v>38</v>
      </c>
      <c r="I20" s="97">
        <v>3</v>
      </c>
      <c r="J20" s="97">
        <v>4</v>
      </c>
      <c r="K20" s="78">
        <f t="shared" ref="K20:K43" si="6">SUM(D20:J20)</f>
        <v>7</v>
      </c>
      <c r="L20" s="79">
        <v>0</v>
      </c>
      <c r="M20" s="218">
        <f t="shared" ref="M20:M43" si="7">K20-L20</f>
        <v>7</v>
      </c>
      <c r="N20" s="26">
        <f>'ไฟล์ต้น (2)'!S21</f>
        <v>4.2865277777777777</v>
      </c>
      <c r="O20" s="26">
        <f>'ไฟล์ต้น (2)'!Y21</f>
        <v>18.428571428571427</v>
      </c>
      <c r="P20" s="24" t="s">
        <v>38</v>
      </c>
      <c r="Q20" s="24" t="s">
        <v>38</v>
      </c>
      <c r="R20" s="24" t="s">
        <v>38</v>
      </c>
      <c r="S20" s="24" t="s">
        <v>38</v>
      </c>
      <c r="T20" s="24" t="s">
        <v>38</v>
      </c>
      <c r="U20" s="19" t="s">
        <v>38</v>
      </c>
      <c r="V20" s="19" t="s">
        <v>38</v>
      </c>
      <c r="W20" s="19" t="s">
        <v>38</v>
      </c>
      <c r="X20" s="19" t="s">
        <v>38</v>
      </c>
      <c r="Y20" s="19" t="s">
        <v>38</v>
      </c>
    </row>
    <row r="21" spans="1:25" s="7" customFormat="1" ht="21.95" customHeight="1" x14ac:dyDescent="0.2">
      <c r="A21" s="127" t="s">
        <v>56</v>
      </c>
      <c r="B21" s="102" t="s">
        <v>22</v>
      </c>
      <c r="C21" s="75" t="s">
        <v>38</v>
      </c>
      <c r="D21" s="75">
        <v>1</v>
      </c>
      <c r="E21" s="75">
        <v>1</v>
      </c>
      <c r="F21" s="75" t="s">
        <v>38</v>
      </c>
      <c r="G21" s="76" t="s">
        <v>38</v>
      </c>
      <c r="H21" s="76" t="s">
        <v>38</v>
      </c>
      <c r="I21" s="76">
        <v>2</v>
      </c>
      <c r="J21" s="77">
        <v>3</v>
      </c>
      <c r="K21" s="78">
        <f t="shared" si="6"/>
        <v>7</v>
      </c>
      <c r="L21" s="79">
        <v>0</v>
      </c>
      <c r="M21" s="218">
        <f t="shared" si="7"/>
        <v>7</v>
      </c>
      <c r="N21" s="26">
        <f>'ไฟล์ต้น (2)'!S22</f>
        <v>6.6755208333333336</v>
      </c>
      <c r="O21" s="26">
        <f>'ไฟล์ต้น (2)'!Y22</f>
        <v>8.3214285714285712</v>
      </c>
      <c r="P21" s="24" t="s">
        <v>38</v>
      </c>
      <c r="Q21" s="24" t="s">
        <v>38</v>
      </c>
      <c r="R21" s="24" t="s">
        <v>38</v>
      </c>
      <c r="S21" s="24" t="s">
        <v>38</v>
      </c>
      <c r="T21" s="24" t="s">
        <v>38</v>
      </c>
      <c r="U21" s="19" t="s">
        <v>38</v>
      </c>
      <c r="V21" s="19" t="s">
        <v>38</v>
      </c>
      <c r="W21" s="19" t="s">
        <v>38</v>
      </c>
      <c r="X21" s="19" t="s">
        <v>38</v>
      </c>
      <c r="Y21" s="19" t="s">
        <v>38</v>
      </c>
    </row>
    <row r="22" spans="1:25" s="7" customFormat="1" ht="21.95" customHeight="1" x14ac:dyDescent="0.2">
      <c r="A22" s="127" t="s">
        <v>57</v>
      </c>
      <c r="B22" s="102" t="s">
        <v>21</v>
      </c>
      <c r="C22" s="96" t="s">
        <v>38</v>
      </c>
      <c r="D22" s="96" t="s">
        <v>38</v>
      </c>
      <c r="E22" s="96">
        <v>1</v>
      </c>
      <c r="F22" s="96" t="s">
        <v>38</v>
      </c>
      <c r="G22" s="97" t="s">
        <v>38</v>
      </c>
      <c r="H22" s="97" t="s">
        <v>38</v>
      </c>
      <c r="I22" s="97">
        <v>6</v>
      </c>
      <c r="J22" s="97">
        <v>1</v>
      </c>
      <c r="K22" s="78">
        <f t="shared" si="6"/>
        <v>8</v>
      </c>
      <c r="L22" s="79">
        <v>0</v>
      </c>
      <c r="M22" s="218">
        <f t="shared" si="7"/>
        <v>8</v>
      </c>
      <c r="N22" s="26">
        <f>'ไฟล์ต้น (2)'!S23</f>
        <v>5.4191666666666674</v>
      </c>
      <c r="O22" s="26">
        <f>'ไฟล์ต้น (2)'!Y23</f>
        <v>7.5</v>
      </c>
      <c r="P22" s="24" t="s">
        <v>38</v>
      </c>
      <c r="Q22" s="24" t="s">
        <v>38</v>
      </c>
      <c r="R22" s="24" t="s">
        <v>38</v>
      </c>
      <c r="S22" s="24" t="s">
        <v>38</v>
      </c>
      <c r="T22" s="24" t="s">
        <v>38</v>
      </c>
      <c r="U22" s="19" t="s">
        <v>38</v>
      </c>
      <c r="V22" s="19" t="s">
        <v>38</v>
      </c>
      <c r="W22" s="19" t="s">
        <v>38</v>
      </c>
      <c r="X22" s="19" t="s">
        <v>38</v>
      </c>
      <c r="Y22" s="19" t="s">
        <v>38</v>
      </c>
    </row>
    <row r="23" spans="1:25" s="7" customFormat="1" ht="21.95" customHeight="1" x14ac:dyDescent="0.55000000000000004">
      <c r="A23" s="129" t="s">
        <v>58</v>
      </c>
      <c r="B23" s="102" t="s">
        <v>23</v>
      </c>
      <c r="C23" s="75" t="s">
        <v>38</v>
      </c>
      <c r="D23" s="75" t="s">
        <v>38</v>
      </c>
      <c r="E23" s="75">
        <v>1</v>
      </c>
      <c r="F23" s="75" t="s">
        <v>38</v>
      </c>
      <c r="G23" s="76" t="s">
        <v>38</v>
      </c>
      <c r="H23" s="76" t="s">
        <v>38</v>
      </c>
      <c r="I23" s="76">
        <v>4</v>
      </c>
      <c r="J23" s="77">
        <v>3</v>
      </c>
      <c r="K23" s="78">
        <f t="shared" si="6"/>
        <v>8</v>
      </c>
      <c r="L23" s="79">
        <v>0</v>
      </c>
      <c r="M23" s="218">
        <f t="shared" si="7"/>
        <v>8</v>
      </c>
      <c r="N23" s="26">
        <f>'ไฟล์ต้น (2)'!S24</f>
        <v>8.3953799999999994</v>
      </c>
      <c r="O23" s="26">
        <f>'ไฟล์ต้น (2)'!Y24</f>
        <v>6.9285714285714288</v>
      </c>
      <c r="P23" s="24" t="s">
        <v>38</v>
      </c>
      <c r="Q23" s="24" t="s">
        <v>38</v>
      </c>
      <c r="R23" s="24" t="s">
        <v>38</v>
      </c>
      <c r="S23" s="24" t="s">
        <v>38</v>
      </c>
      <c r="T23" s="24">
        <v>1</v>
      </c>
      <c r="U23" s="19" t="s">
        <v>38</v>
      </c>
      <c r="V23" s="19" t="s">
        <v>38</v>
      </c>
      <c r="W23" s="19" t="s">
        <v>38</v>
      </c>
      <c r="X23" s="19" t="s">
        <v>38</v>
      </c>
      <c r="Y23" s="19" t="s">
        <v>38</v>
      </c>
    </row>
    <row r="24" spans="1:25" s="7" customFormat="1" ht="21.95" customHeight="1" x14ac:dyDescent="0.2">
      <c r="A24" s="123" t="s">
        <v>59</v>
      </c>
      <c r="B24" s="102" t="s">
        <v>24</v>
      </c>
      <c r="C24" s="75" t="s">
        <v>38</v>
      </c>
      <c r="D24" s="75" t="s">
        <v>38</v>
      </c>
      <c r="E24" s="75">
        <v>2</v>
      </c>
      <c r="F24" s="75" t="s">
        <v>38</v>
      </c>
      <c r="G24" s="76" t="s">
        <v>38</v>
      </c>
      <c r="H24" s="76" t="s">
        <v>38</v>
      </c>
      <c r="I24" s="76">
        <v>2</v>
      </c>
      <c r="J24" s="77">
        <v>1</v>
      </c>
      <c r="K24" s="78">
        <f t="shared" si="6"/>
        <v>5</v>
      </c>
      <c r="L24" s="79">
        <v>0</v>
      </c>
      <c r="M24" s="218">
        <f t="shared" si="7"/>
        <v>5</v>
      </c>
      <c r="N24" s="26">
        <f>'ไฟล์ต้น (2)'!S25</f>
        <v>7.9406249999999998</v>
      </c>
      <c r="O24" s="26">
        <f>'ไฟล์ต้น (2)'!Y25</f>
        <v>4.0357142857142856</v>
      </c>
      <c r="P24" s="24" t="s">
        <v>38</v>
      </c>
      <c r="Q24" s="24" t="s">
        <v>38</v>
      </c>
      <c r="R24" s="24" t="s">
        <v>38</v>
      </c>
      <c r="S24" s="24" t="s">
        <v>38</v>
      </c>
      <c r="T24" s="24">
        <v>1</v>
      </c>
      <c r="U24" s="19" t="s">
        <v>38</v>
      </c>
      <c r="V24" s="19" t="s">
        <v>38</v>
      </c>
      <c r="W24" s="19" t="s">
        <v>38</v>
      </c>
      <c r="X24" s="19" t="s">
        <v>38</v>
      </c>
      <c r="Y24" s="19" t="s">
        <v>38</v>
      </c>
    </row>
    <row r="25" spans="1:25" s="7" customFormat="1" ht="21.95" customHeight="1" x14ac:dyDescent="0.2">
      <c r="A25" s="123" t="s">
        <v>60</v>
      </c>
      <c r="B25" s="102" t="s">
        <v>21</v>
      </c>
      <c r="C25" s="75" t="s">
        <v>38</v>
      </c>
      <c r="D25" s="75" t="s">
        <v>38</v>
      </c>
      <c r="E25" s="75">
        <v>1</v>
      </c>
      <c r="F25" s="75" t="s">
        <v>38</v>
      </c>
      <c r="G25" s="76" t="s">
        <v>38</v>
      </c>
      <c r="H25" s="76" t="s">
        <v>38</v>
      </c>
      <c r="I25" s="76">
        <v>5</v>
      </c>
      <c r="J25" s="77">
        <v>3</v>
      </c>
      <c r="K25" s="78">
        <f t="shared" si="6"/>
        <v>9</v>
      </c>
      <c r="L25" s="79">
        <v>0</v>
      </c>
      <c r="M25" s="218">
        <f t="shared" si="7"/>
        <v>9</v>
      </c>
      <c r="N25" s="26">
        <f>'ไฟล์ต้น (2)'!S26</f>
        <v>12.680208333333333</v>
      </c>
      <c r="O25" s="26">
        <f>'ไฟล์ต้น (2)'!Y26</f>
        <v>7.8928571428571432</v>
      </c>
      <c r="P25" s="24" t="s">
        <v>38</v>
      </c>
      <c r="Q25" s="24" t="s">
        <v>38</v>
      </c>
      <c r="R25" s="24" t="s">
        <v>38</v>
      </c>
      <c r="S25" s="24">
        <v>2</v>
      </c>
      <c r="T25" s="24" t="s">
        <v>38</v>
      </c>
      <c r="U25" s="19" t="s">
        <v>38</v>
      </c>
      <c r="V25" s="19" t="s">
        <v>38</v>
      </c>
      <c r="W25" s="19" t="s">
        <v>38</v>
      </c>
      <c r="X25" s="19" t="s">
        <v>38</v>
      </c>
      <c r="Y25" s="19" t="s">
        <v>38</v>
      </c>
    </row>
    <row r="26" spans="1:25" s="7" customFormat="1" ht="21.95" customHeight="1" x14ac:dyDescent="0.2">
      <c r="A26" s="123" t="s">
        <v>61</v>
      </c>
      <c r="B26" s="102" t="s">
        <v>21</v>
      </c>
      <c r="C26" s="75" t="s">
        <v>38</v>
      </c>
      <c r="D26" s="75" t="s">
        <v>38</v>
      </c>
      <c r="E26" s="75" t="s">
        <v>38</v>
      </c>
      <c r="F26" s="75">
        <v>1</v>
      </c>
      <c r="G26" s="76" t="s">
        <v>38</v>
      </c>
      <c r="H26" s="76" t="s">
        <v>38</v>
      </c>
      <c r="I26" s="76">
        <v>2</v>
      </c>
      <c r="J26" s="77">
        <v>5</v>
      </c>
      <c r="K26" s="78">
        <f t="shared" si="6"/>
        <v>8</v>
      </c>
      <c r="L26" s="79">
        <v>0</v>
      </c>
      <c r="M26" s="218">
        <f t="shared" si="7"/>
        <v>8</v>
      </c>
      <c r="N26" s="26">
        <f>'ไฟล์ต้น (2)'!S27</f>
        <v>5.1960416666666669</v>
      </c>
      <c r="O26" s="26">
        <f>'ไฟล์ต้น (2)'!Y27</f>
        <v>4.4642857142857144</v>
      </c>
      <c r="P26" s="24" t="s">
        <v>38</v>
      </c>
      <c r="Q26" s="24" t="s">
        <v>38</v>
      </c>
      <c r="R26" s="24">
        <v>1</v>
      </c>
      <c r="S26" s="24" t="s">
        <v>38</v>
      </c>
      <c r="T26" s="24" t="s">
        <v>38</v>
      </c>
      <c r="U26" s="19" t="s">
        <v>38</v>
      </c>
      <c r="V26" s="19" t="s">
        <v>38</v>
      </c>
      <c r="W26" s="19" t="s">
        <v>38</v>
      </c>
      <c r="X26" s="19" t="s">
        <v>38</v>
      </c>
      <c r="Y26" s="19" t="s">
        <v>38</v>
      </c>
    </row>
    <row r="27" spans="1:25" s="7" customFormat="1" ht="21.95" customHeight="1" x14ac:dyDescent="0.2">
      <c r="A27" s="123" t="s">
        <v>62</v>
      </c>
      <c r="B27" s="102" t="s">
        <v>24</v>
      </c>
      <c r="C27" s="96" t="s">
        <v>38</v>
      </c>
      <c r="D27" s="96" t="s">
        <v>38</v>
      </c>
      <c r="E27" s="96" t="s">
        <v>38</v>
      </c>
      <c r="F27" s="96" t="s">
        <v>38</v>
      </c>
      <c r="G27" s="97" t="s">
        <v>38</v>
      </c>
      <c r="H27" s="97" t="s">
        <v>38</v>
      </c>
      <c r="I27" s="97" t="s">
        <v>38</v>
      </c>
      <c r="J27" s="97">
        <v>9</v>
      </c>
      <c r="K27" s="78">
        <f t="shared" si="6"/>
        <v>9</v>
      </c>
      <c r="L27" s="79">
        <v>0</v>
      </c>
      <c r="M27" s="218">
        <f t="shared" si="7"/>
        <v>9</v>
      </c>
      <c r="N27" s="26">
        <f>'ไฟล์ต้น (2)'!S28</f>
        <v>10.487166666666667</v>
      </c>
      <c r="O27" s="26">
        <f>'ไฟล์ต้น (2)'!Y28</f>
        <v>10.285714285714286</v>
      </c>
      <c r="P27" s="24" t="s">
        <v>38</v>
      </c>
      <c r="Q27" s="24" t="s">
        <v>38</v>
      </c>
      <c r="R27" s="24" t="s">
        <v>38</v>
      </c>
      <c r="S27" s="24" t="s">
        <v>38</v>
      </c>
      <c r="T27" s="24" t="s">
        <v>38</v>
      </c>
      <c r="U27" s="19" t="s">
        <v>38</v>
      </c>
      <c r="V27" s="19" t="s">
        <v>38</v>
      </c>
      <c r="W27" s="19" t="s">
        <v>38</v>
      </c>
      <c r="X27" s="19" t="s">
        <v>38</v>
      </c>
      <c r="Y27" s="19" t="s">
        <v>38</v>
      </c>
    </row>
    <row r="28" spans="1:25" s="7" customFormat="1" ht="21.95" customHeight="1" x14ac:dyDescent="0.2">
      <c r="A28" s="123" t="s">
        <v>63</v>
      </c>
      <c r="B28" s="102" t="s">
        <v>24</v>
      </c>
      <c r="C28" s="75" t="s">
        <v>38</v>
      </c>
      <c r="D28" s="75" t="s">
        <v>38</v>
      </c>
      <c r="E28" s="75">
        <v>1</v>
      </c>
      <c r="F28" s="75">
        <v>1</v>
      </c>
      <c r="G28" s="76" t="s">
        <v>38</v>
      </c>
      <c r="H28" s="76" t="s">
        <v>38</v>
      </c>
      <c r="I28" s="76" t="s">
        <v>38</v>
      </c>
      <c r="J28" s="77">
        <v>5</v>
      </c>
      <c r="K28" s="78">
        <f t="shared" si="6"/>
        <v>7</v>
      </c>
      <c r="L28" s="79">
        <v>0</v>
      </c>
      <c r="M28" s="218">
        <f t="shared" si="7"/>
        <v>7</v>
      </c>
      <c r="N28" s="26">
        <f>'ไฟล์ต้น (2)'!S29</f>
        <v>6.721166666666667</v>
      </c>
      <c r="O28" s="26">
        <f>'ไฟล์ต้น (2)'!Y29</f>
        <v>5.2857142857142856</v>
      </c>
      <c r="P28" s="24" t="s">
        <v>38</v>
      </c>
      <c r="Q28" s="24" t="s">
        <v>38</v>
      </c>
      <c r="R28" s="24" t="s">
        <v>38</v>
      </c>
      <c r="S28" s="24" t="s">
        <v>38</v>
      </c>
      <c r="T28" s="24" t="s">
        <v>38</v>
      </c>
      <c r="U28" s="19" t="s">
        <v>38</v>
      </c>
      <c r="V28" s="19" t="s">
        <v>38</v>
      </c>
      <c r="W28" s="19" t="s">
        <v>38</v>
      </c>
      <c r="X28" s="19" t="s">
        <v>38</v>
      </c>
      <c r="Y28" s="19" t="s">
        <v>38</v>
      </c>
    </row>
    <row r="29" spans="1:25" s="7" customFormat="1" ht="21.95" customHeight="1" x14ac:dyDescent="0.2">
      <c r="A29" s="342" t="s">
        <v>64</v>
      </c>
      <c r="B29" s="102" t="s">
        <v>19</v>
      </c>
      <c r="C29" s="75" t="s">
        <v>38</v>
      </c>
      <c r="D29" s="75" t="s">
        <v>38</v>
      </c>
      <c r="E29" s="75" t="s">
        <v>38</v>
      </c>
      <c r="F29" s="75" t="s">
        <v>38</v>
      </c>
      <c r="G29" s="76" t="s">
        <v>38</v>
      </c>
      <c r="H29" s="76" t="s">
        <v>38</v>
      </c>
      <c r="I29" s="76">
        <v>2</v>
      </c>
      <c r="J29" s="76">
        <v>1</v>
      </c>
      <c r="K29" s="130">
        <f t="shared" si="6"/>
        <v>3</v>
      </c>
      <c r="L29" s="131">
        <v>0</v>
      </c>
      <c r="M29" s="238">
        <f t="shared" si="7"/>
        <v>3</v>
      </c>
      <c r="N29" s="33">
        <f>'ไฟล์ต้น (2)'!S30</f>
        <v>0.78487499999999788</v>
      </c>
      <c r="O29" s="33">
        <f>'ไฟล์ต้น (2)'!Y30</f>
        <v>1.8214285714285714</v>
      </c>
      <c r="P29" s="24" t="s">
        <v>38</v>
      </c>
      <c r="Q29" s="24" t="s">
        <v>38</v>
      </c>
      <c r="R29" s="24" t="s">
        <v>38</v>
      </c>
      <c r="S29" s="24" t="s">
        <v>38</v>
      </c>
      <c r="T29" s="24" t="s">
        <v>38</v>
      </c>
      <c r="U29" s="19" t="s">
        <v>38</v>
      </c>
      <c r="V29" s="19" t="s">
        <v>38</v>
      </c>
      <c r="W29" s="19" t="s">
        <v>38</v>
      </c>
      <c r="X29" s="19" t="s">
        <v>38</v>
      </c>
      <c r="Y29" s="19" t="s">
        <v>38</v>
      </c>
    </row>
    <row r="30" spans="1:25" s="7" customFormat="1" ht="21.95" customHeight="1" x14ac:dyDescent="0.2">
      <c r="A30" s="342"/>
      <c r="B30" s="102" t="s">
        <v>21</v>
      </c>
      <c r="C30" s="75" t="s">
        <v>38</v>
      </c>
      <c r="D30" s="75" t="s">
        <v>38</v>
      </c>
      <c r="E30" s="75" t="s">
        <v>38</v>
      </c>
      <c r="F30" s="75">
        <v>1</v>
      </c>
      <c r="G30" s="76" t="s">
        <v>38</v>
      </c>
      <c r="H30" s="76" t="s">
        <v>38</v>
      </c>
      <c r="I30" s="76">
        <v>2</v>
      </c>
      <c r="J30" s="76">
        <v>2</v>
      </c>
      <c r="K30" s="130">
        <f t="shared" si="6"/>
        <v>5</v>
      </c>
      <c r="L30" s="131">
        <v>0</v>
      </c>
      <c r="M30" s="238">
        <f t="shared" si="7"/>
        <v>5</v>
      </c>
      <c r="N30" s="33">
        <f>'ไฟล์ต้น (2)'!S31</f>
        <v>8.7140277777777779</v>
      </c>
      <c r="O30" s="33">
        <f>'ไฟล์ต้น (2)'!Y31</f>
        <v>9.6071428571428577</v>
      </c>
      <c r="P30" s="24" t="s">
        <v>38</v>
      </c>
      <c r="Q30" s="24" t="s">
        <v>38</v>
      </c>
      <c r="R30" s="24" t="s">
        <v>38</v>
      </c>
      <c r="S30" s="24" t="s">
        <v>38</v>
      </c>
      <c r="T30" s="24" t="s">
        <v>38</v>
      </c>
      <c r="U30" s="19" t="s">
        <v>38</v>
      </c>
      <c r="V30" s="19" t="s">
        <v>38</v>
      </c>
      <c r="W30" s="19" t="s">
        <v>38</v>
      </c>
      <c r="X30" s="19" t="s">
        <v>38</v>
      </c>
      <c r="Y30" s="19" t="s">
        <v>38</v>
      </c>
    </row>
    <row r="31" spans="1:25" s="7" customFormat="1" ht="21.95" customHeight="1" x14ac:dyDescent="0.2">
      <c r="A31" s="342"/>
      <c r="B31" s="102" t="s">
        <v>212</v>
      </c>
      <c r="C31" s="75" t="s">
        <v>38</v>
      </c>
      <c r="D31" s="75" t="s">
        <v>38</v>
      </c>
      <c r="E31" s="75" t="s">
        <v>38</v>
      </c>
      <c r="F31" s="75" t="s">
        <v>38</v>
      </c>
      <c r="G31" s="76" t="s">
        <v>38</v>
      </c>
      <c r="H31" s="76" t="s">
        <v>38</v>
      </c>
      <c r="I31" s="76">
        <v>2</v>
      </c>
      <c r="J31" s="76">
        <v>4</v>
      </c>
      <c r="K31" s="130">
        <f t="shared" si="6"/>
        <v>6</v>
      </c>
      <c r="L31" s="131">
        <v>1</v>
      </c>
      <c r="M31" s="238">
        <f t="shared" si="7"/>
        <v>5</v>
      </c>
      <c r="N31" s="33">
        <f>'ไฟล์ต้น (2)'!S32</f>
        <v>10.269</v>
      </c>
      <c r="O31" s="33">
        <f>'ไฟล์ต้น (2)'!Y32</f>
        <v>16.714285714285715</v>
      </c>
      <c r="P31" s="24" t="s">
        <v>38</v>
      </c>
      <c r="Q31" s="24" t="s">
        <v>38</v>
      </c>
      <c r="R31" s="24" t="s">
        <v>38</v>
      </c>
      <c r="S31" s="24" t="s">
        <v>38</v>
      </c>
      <c r="T31" s="24" t="s">
        <v>38</v>
      </c>
      <c r="U31" s="19" t="s">
        <v>38</v>
      </c>
      <c r="V31" s="19" t="s">
        <v>38</v>
      </c>
      <c r="W31" s="19" t="s">
        <v>38</v>
      </c>
      <c r="X31" s="19" t="s">
        <v>38</v>
      </c>
      <c r="Y31" s="19" t="s">
        <v>38</v>
      </c>
    </row>
    <row r="32" spans="1:25" s="7" customFormat="1" ht="21.95" customHeight="1" x14ac:dyDescent="0.2">
      <c r="A32" s="342"/>
      <c r="B32" s="102" t="s">
        <v>213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/>
      <c r="I32" s="76">
        <v>2</v>
      </c>
      <c r="J32" s="76">
        <v>4</v>
      </c>
      <c r="K32" s="130">
        <f t="shared" si="6"/>
        <v>6</v>
      </c>
      <c r="L32" s="131">
        <v>0</v>
      </c>
      <c r="M32" s="238">
        <f t="shared" si="7"/>
        <v>6</v>
      </c>
      <c r="N32" s="33">
        <f>'ไฟล์ต้น (2)'!S33</f>
        <v>2.6669999999999998</v>
      </c>
      <c r="O32" s="33">
        <f>'ไฟล์ต้น (2)'!Y33</f>
        <v>2.2142857142857144</v>
      </c>
      <c r="P32" s="281">
        <v>0</v>
      </c>
      <c r="Q32" s="281">
        <v>0</v>
      </c>
      <c r="R32" s="281">
        <v>0</v>
      </c>
      <c r="S32" s="281">
        <v>0</v>
      </c>
      <c r="T32" s="281">
        <v>0</v>
      </c>
      <c r="U32" s="260">
        <v>0</v>
      </c>
      <c r="V32" s="260">
        <v>0</v>
      </c>
      <c r="W32" s="260">
        <v>0</v>
      </c>
      <c r="X32" s="260">
        <v>0</v>
      </c>
      <c r="Y32" s="260">
        <v>0</v>
      </c>
    </row>
    <row r="33" spans="1:25" s="16" customFormat="1" ht="21.95" customHeight="1" x14ac:dyDescent="0.2">
      <c r="A33" s="138" t="s">
        <v>65</v>
      </c>
      <c r="B33" s="74" t="s">
        <v>38</v>
      </c>
      <c r="C33" s="96" t="s">
        <v>38</v>
      </c>
      <c r="D33" s="96" t="s">
        <v>38</v>
      </c>
      <c r="E33" s="96" t="s">
        <v>38</v>
      </c>
      <c r="F33" s="96" t="s">
        <v>38</v>
      </c>
      <c r="G33" s="97" t="s">
        <v>38</v>
      </c>
      <c r="H33" s="97" t="s">
        <v>38</v>
      </c>
      <c r="I33" s="97" t="s">
        <v>38</v>
      </c>
      <c r="J33" s="97">
        <v>2</v>
      </c>
      <c r="K33" s="78">
        <f t="shared" si="6"/>
        <v>2</v>
      </c>
      <c r="L33" s="79">
        <v>0</v>
      </c>
      <c r="M33" s="236">
        <f t="shared" si="7"/>
        <v>2</v>
      </c>
      <c r="N33" s="48">
        <f>'ไฟล์ต้น (2)'!S34</f>
        <v>0</v>
      </c>
      <c r="O33" s="48">
        <f>'ไฟล์ต้น (2)'!Y34</f>
        <v>0</v>
      </c>
      <c r="P33" s="24" t="s">
        <v>38</v>
      </c>
      <c r="Q33" s="24" t="s">
        <v>38</v>
      </c>
      <c r="R33" s="24" t="s">
        <v>38</v>
      </c>
      <c r="S33" s="24" t="s">
        <v>38</v>
      </c>
      <c r="T33" s="24" t="s">
        <v>38</v>
      </c>
      <c r="U33" s="19" t="s">
        <v>38</v>
      </c>
      <c r="V33" s="19" t="s">
        <v>38</v>
      </c>
      <c r="W33" s="19" t="s">
        <v>38</v>
      </c>
      <c r="X33" s="19" t="s">
        <v>38</v>
      </c>
      <c r="Y33" s="19" t="s">
        <v>38</v>
      </c>
    </row>
    <row r="34" spans="1:25" s="8" customFormat="1" ht="21.95" customHeight="1" x14ac:dyDescent="0.2">
      <c r="A34" s="343" t="s">
        <v>66</v>
      </c>
      <c r="B34" s="102" t="s">
        <v>21</v>
      </c>
      <c r="C34" s="75" t="s">
        <v>38</v>
      </c>
      <c r="D34" s="75" t="s">
        <v>38</v>
      </c>
      <c r="E34" s="75" t="s">
        <v>38</v>
      </c>
      <c r="F34" s="75" t="s">
        <v>38</v>
      </c>
      <c r="G34" s="76" t="s">
        <v>38</v>
      </c>
      <c r="H34" s="76" t="s">
        <v>38</v>
      </c>
      <c r="I34" s="76">
        <v>1</v>
      </c>
      <c r="J34" s="76">
        <v>5</v>
      </c>
      <c r="K34" s="108">
        <f t="shared" si="6"/>
        <v>6</v>
      </c>
      <c r="L34" s="79">
        <v>0</v>
      </c>
      <c r="M34" s="237">
        <f t="shared" si="7"/>
        <v>6</v>
      </c>
      <c r="N34" s="33">
        <f>'ไฟล์ต้น (2)'!S35</f>
        <v>0.68512499999999998</v>
      </c>
      <c r="O34" s="33">
        <f>'ไฟล์ต้น (2)'!Y35</f>
        <v>7.6071428571428568</v>
      </c>
      <c r="P34" s="24" t="s">
        <v>38</v>
      </c>
      <c r="Q34" s="24" t="s">
        <v>38</v>
      </c>
      <c r="R34" s="24" t="s">
        <v>38</v>
      </c>
      <c r="S34" s="24" t="s">
        <v>38</v>
      </c>
      <c r="T34" s="24" t="s">
        <v>38</v>
      </c>
      <c r="U34" s="19" t="s">
        <v>38</v>
      </c>
      <c r="V34" s="19" t="s">
        <v>38</v>
      </c>
      <c r="W34" s="19" t="s">
        <v>38</v>
      </c>
      <c r="X34" s="19" t="s">
        <v>38</v>
      </c>
      <c r="Y34" s="19" t="s">
        <v>38</v>
      </c>
    </row>
    <row r="35" spans="1:25" ht="21.95" customHeight="1" x14ac:dyDescent="0.2">
      <c r="A35" s="343"/>
      <c r="B35" s="102" t="s">
        <v>40</v>
      </c>
      <c r="C35" s="75" t="s">
        <v>38</v>
      </c>
      <c r="D35" s="75" t="s">
        <v>38</v>
      </c>
      <c r="E35" s="75">
        <v>2</v>
      </c>
      <c r="F35" s="75" t="s">
        <v>38</v>
      </c>
      <c r="G35" s="76" t="s">
        <v>38</v>
      </c>
      <c r="H35" s="76" t="s">
        <v>38</v>
      </c>
      <c r="I35" s="76"/>
      <c r="J35" s="76">
        <v>11</v>
      </c>
      <c r="K35" s="108">
        <f t="shared" si="6"/>
        <v>13</v>
      </c>
      <c r="L35" s="144">
        <v>1</v>
      </c>
      <c r="M35" s="237">
        <f t="shared" si="7"/>
        <v>12</v>
      </c>
      <c r="N35" s="33">
        <f>'ไฟล์ต้น (2)'!S36</f>
        <v>12.2675</v>
      </c>
      <c r="O35" s="33">
        <f>'ไฟล์ต้น (2)'!Y36</f>
        <v>25.714285714285715</v>
      </c>
      <c r="P35" s="24" t="s">
        <v>38</v>
      </c>
      <c r="Q35" s="24">
        <v>1</v>
      </c>
      <c r="R35" s="24">
        <v>1</v>
      </c>
      <c r="S35" s="24" t="s">
        <v>38</v>
      </c>
      <c r="T35" s="246">
        <v>3</v>
      </c>
      <c r="U35" s="19" t="s">
        <v>38</v>
      </c>
      <c r="V35" s="19" t="s">
        <v>38</v>
      </c>
      <c r="W35" s="19" t="s">
        <v>38</v>
      </c>
      <c r="X35" s="19" t="s">
        <v>38</v>
      </c>
      <c r="Y35" s="19" t="s">
        <v>38</v>
      </c>
    </row>
    <row r="36" spans="1:25" ht="21.75" customHeight="1" x14ac:dyDescent="0.2">
      <c r="A36" s="343"/>
      <c r="B36" s="102" t="s">
        <v>41</v>
      </c>
      <c r="C36" s="75" t="s">
        <v>38</v>
      </c>
      <c r="D36" s="75" t="s">
        <v>38</v>
      </c>
      <c r="E36" s="75" t="s">
        <v>38</v>
      </c>
      <c r="F36" s="75" t="s">
        <v>38</v>
      </c>
      <c r="G36" s="76" t="s">
        <v>38</v>
      </c>
      <c r="H36" s="76" t="s">
        <v>38</v>
      </c>
      <c r="I36" s="76">
        <v>2</v>
      </c>
      <c r="J36" s="76">
        <v>8</v>
      </c>
      <c r="K36" s="108">
        <f t="shared" si="6"/>
        <v>10</v>
      </c>
      <c r="L36" s="144">
        <v>1</v>
      </c>
      <c r="M36" s="237">
        <f t="shared" si="7"/>
        <v>9</v>
      </c>
      <c r="N36" s="33">
        <f>'ไฟล์ต้น (2)'!S37</f>
        <v>10.725166666666667</v>
      </c>
      <c r="O36" s="33">
        <f>'ไฟล์ต้น (2)'!Y37</f>
        <v>6.1071428571428568</v>
      </c>
      <c r="P36" s="24" t="s">
        <v>38</v>
      </c>
      <c r="Q36" s="24" t="s">
        <v>38</v>
      </c>
      <c r="R36" s="24" t="s">
        <v>38</v>
      </c>
      <c r="S36" s="24" t="s">
        <v>38</v>
      </c>
      <c r="T36" s="24" t="s">
        <v>38</v>
      </c>
      <c r="U36" s="19" t="s">
        <v>38</v>
      </c>
      <c r="V36" s="19" t="s">
        <v>38</v>
      </c>
      <c r="W36" s="19" t="s">
        <v>38</v>
      </c>
      <c r="X36" s="19" t="s">
        <v>38</v>
      </c>
      <c r="Y36" s="19" t="s">
        <v>38</v>
      </c>
    </row>
    <row r="37" spans="1:25" ht="21.75" customHeight="1" x14ac:dyDescent="0.2">
      <c r="A37" s="343"/>
      <c r="B37" s="102" t="s">
        <v>20</v>
      </c>
      <c r="C37" s="75" t="s">
        <v>38</v>
      </c>
      <c r="D37" s="75" t="s">
        <v>38</v>
      </c>
      <c r="E37" s="75">
        <v>2</v>
      </c>
      <c r="F37" s="75" t="s">
        <v>38</v>
      </c>
      <c r="G37" s="76" t="s">
        <v>38</v>
      </c>
      <c r="H37" s="76" t="s">
        <v>38</v>
      </c>
      <c r="I37" s="76">
        <v>1</v>
      </c>
      <c r="J37" s="76" t="s">
        <v>38</v>
      </c>
      <c r="K37" s="108">
        <f t="shared" si="6"/>
        <v>3</v>
      </c>
      <c r="L37" s="144">
        <v>0</v>
      </c>
      <c r="M37" s="237">
        <f t="shared" si="7"/>
        <v>3</v>
      </c>
      <c r="N37" s="33">
        <f>'ไฟล์ต้น (2)'!S38</f>
        <v>0.38062499999999999</v>
      </c>
      <c r="O37" s="33">
        <f>'ไฟล์ต้น (2)'!Y38</f>
        <v>2.2142857142857144</v>
      </c>
      <c r="P37" s="24" t="s">
        <v>38</v>
      </c>
      <c r="Q37" s="24" t="s">
        <v>38</v>
      </c>
      <c r="R37" s="24" t="s">
        <v>38</v>
      </c>
      <c r="S37" s="24" t="s">
        <v>38</v>
      </c>
      <c r="T37" s="24" t="s">
        <v>38</v>
      </c>
      <c r="U37" s="19" t="s">
        <v>38</v>
      </c>
      <c r="V37" s="19" t="s">
        <v>38</v>
      </c>
      <c r="W37" s="19" t="s">
        <v>38</v>
      </c>
      <c r="X37" s="19" t="s">
        <v>38</v>
      </c>
      <c r="Y37" s="19" t="s">
        <v>38</v>
      </c>
    </row>
    <row r="38" spans="1:25" ht="21.75" customHeight="1" x14ac:dyDescent="0.2">
      <c r="A38" s="343" t="s">
        <v>67</v>
      </c>
      <c r="B38" s="102" t="s">
        <v>110</v>
      </c>
      <c r="C38" s="75" t="s">
        <v>26</v>
      </c>
      <c r="D38" s="75">
        <v>1</v>
      </c>
      <c r="E38" s="75">
        <v>1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130">
        <f t="shared" si="6"/>
        <v>3</v>
      </c>
      <c r="L38" s="131">
        <v>0</v>
      </c>
      <c r="M38" s="238">
        <f t="shared" si="7"/>
        <v>3</v>
      </c>
      <c r="N38" s="33">
        <f>'ไฟล์ต้น (2)'!S39</f>
        <v>0.56700000000000006</v>
      </c>
      <c r="O38" s="33">
        <f>'ไฟล์ต้น (2)'!Y39</f>
        <v>1.8571428571428572</v>
      </c>
      <c r="P38" s="24" t="s">
        <v>38</v>
      </c>
      <c r="Q38" s="24" t="s">
        <v>38</v>
      </c>
      <c r="R38" s="24" t="s">
        <v>38</v>
      </c>
      <c r="S38" s="24" t="s">
        <v>38</v>
      </c>
      <c r="T38" s="24" t="s">
        <v>38</v>
      </c>
      <c r="U38" s="19" t="s">
        <v>38</v>
      </c>
      <c r="V38" s="19" t="s">
        <v>38</v>
      </c>
      <c r="W38" s="19" t="s">
        <v>38</v>
      </c>
      <c r="X38" s="19" t="s">
        <v>38</v>
      </c>
      <c r="Y38" s="19" t="s">
        <v>38</v>
      </c>
    </row>
    <row r="39" spans="1:25" ht="21.75" customHeight="1" x14ac:dyDescent="0.2">
      <c r="A39" s="343"/>
      <c r="B39" s="102" t="s">
        <v>111</v>
      </c>
      <c r="C39" s="75" t="s">
        <v>38</v>
      </c>
      <c r="D39" s="75" t="s">
        <v>38</v>
      </c>
      <c r="E39" s="75">
        <v>1</v>
      </c>
      <c r="F39" s="75" t="s">
        <v>38</v>
      </c>
      <c r="G39" s="76" t="s">
        <v>38</v>
      </c>
      <c r="H39" s="76" t="s">
        <v>38</v>
      </c>
      <c r="I39" s="76">
        <v>2</v>
      </c>
      <c r="J39" s="76" t="s">
        <v>38</v>
      </c>
      <c r="K39" s="130">
        <f t="shared" si="6"/>
        <v>3</v>
      </c>
      <c r="L39" s="131">
        <v>0</v>
      </c>
      <c r="M39" s="238">
        <f t="shared" si="7"/>
        <v>3</v>
      </c>
      <c r="N39" s="33">
        <f>'ไฟล์ต้น (2)'!S40</f>
        <v>1.4490000000000025</v>
      </c>
      <c r="O39" s="33">
        <f>'ไฟล์ต้น (2)'!Y40</f>
        <v>1.8571428571428572</v>
      </c>
      <c r="P39" s="24" t="s">
        <v>38</v>
      </c>
      <c r="Q39" s="24" t="s">
        <v>38</v>
      </c>
      <c r="R39" s="24" t="s">
        <v>38</v>
      </c>
      <c r="S39" s="24" t="s">
        <v>38</v>
      </c>
      <c r="T39" s="24" t="s">
        <v>38</v>
      </c>
      <c r="U39" s="19" t="s">
        <v>38</v>
      </c>
      <c r="V39" s="19" t="s">
        <v>38</v>
      </c>
      <c r="W39" s="19" t="s">
        <v>38</v>
      </c>
      <c r="X39" s="19" t="s">
        <v>38</v>
      </c>
      <c r="Y39" s="19" t="s">
        <v>38</v>
      </c>
    </row>
    <row r="40" spans="1:25" ht="21.75" customHeight="1" x14ac:dyDescent="0.2">
      <c r="A40" s="343"/>
      <c r="B40" s="102" t="s">
        <v>25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>
        <v>3</v>
      </c>
      <c r="K40" s="130">
        <f t="shared" si="6"/>
        <v>6</v>
      </c>
      <c r="L40" s="131">
        <v>0</v>
      </c>
      <c r="M40" s="238">
        <f t="shared" si="7"/>
        <v>6</v>
      </c>
      <c r="N40" s="33">
        <f>'ไฟล์ต้น (2)'!S41</f>
        <v>26.363166666666665</v>
      </c>
      <c r="O40" s="33">
        <f>'ไฟล์ต้น (2)'!Y41</f>
        <v>11.321428571428571</v>
      </c>
      <c r="P40" s="24">
        <v>2</v>
      </c>
      <c r="Q40" s="24" t="s">
        <v>38</v>
      </c>
      <c r="R40" s="24" t="s">
        <v>38</v>
      </c>
      <c r="S40" s="24" t="s">
        <v>38</v>
      </c>
      <c r="T40" s="24" t="s">
        <v>38</v>
      </c>
      <c r="U40" s="19" t="s">
        <v>38</v>
      </c>
      <c r="V40" s="19">
        <v>2</v>
      </c>
      <c r="W40" s="19" t="s">
        <v>38</v>
      </c>
      <c r="X40" s="19" t="s">
        <v>38</v>
      </c>
      <c r="Y40" s="19" t="s">
        <v>38</v>
      </c>
    </row>
    <row r="41" spans="1:25" ht="21.75" customHeight="1" x14ac:dyDescent="0.2">
      <c r="A41" s="127" t="s">
        <v>68</v>
      </c>
      <c r="B41" s="102" t="s">
        <v>21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3</v>
      </c>
      <c r="J41" s="77">
        <v>4</v>
      </c>
      <c r="K41" s="130">
        <f t="shared" si="6"/>
        <v>8</v>
      </c>
      <c r="L41" s="131">
        <v>0</v>
      </c>
      <c r="M41" s="238">
        <f t="shared" si="7"/>
        <v>8</v>
      </c>
      <c r="N41" s="26">
        <f>'ไฟล์ต้น (2)'!S42</f>
        <v>5.3822222222222225</v>
      </c>
      <c r="O41" s="26">
        <f>'ไฟล์ต้น (2)'!Y42</f>
        <v>21.75</v>
      </c>
      <c r="P41" s="24">
        <v>1</v>
      </c>
      <c r="Q41" s="24" t="s">
        <v>38</v>
      </c>
      <c r="R41" s="24" t="s">
        <v>38</v>
      </c>
      <c r="S41" s="24" t="s">
        <v>38</v>
      </c>
      <c r="T41" s="24" t="s">
        <v>38</v>
      </c>
      <c r="U41" s="19" t="s">
        <v>38</v>
      </c>
      <c r="V41" s="19" t="s">
        <v>38</v>
      </c>
      <c r="W41" s="19" t="s">
        <v>38</v>
      </c>
      <c r="X41" s="19" t="s">
        <v>38</v>
      </c>
      <c r="Y41" s="19" t="s">
        <v>38</v>
      </c>
    </row>
    <row r="42" spans="1:25" ht="21.75" customHeight="1" x14ac:dyDescent="0.2">
      <c r="A42" s="127" t="s">
        <v>69</v>
      </c>
      <c r="B42" s="102" t="s">
        <v>22</v>
      </c>
      <c r="C42" s="75" t="s">
        <v>38</v>
      </c>
      <c r="D42" s="75" t="s">
        <v>38</v>
      </c>
      <c r="E42" s="75" t="s">
        <v>38</v>
      </c>
      <c r="F42" s="75">
        <v>1</v>
      </c>
      <c r="G42" s="76" t="s">
        <v>38</v>
      </c>
      <c r="H42" s="76" t="s">
        <v>38</v>
      </c>
      <c r="I42" s="76">
        <v>2</v>
      </c>
      <c r="J42" s="77">
        <v>2</v>
      </c>
      <c r="K42" s="78">
        <f t="shared" si="6"/>
        <v>5</v>
      </c>
      <c r="L42" s="79">
        <v>0</v>
      </c>
      <c r="M42" s="218">
        <f t="shared" si="7"/>
        <v>5</v>
      </c>
      <c r="N42" s="26">
        <f>'ไฟล์ต้น (2)'!S43</f>
        <v>9.9239583333333332</v>
      </c>
      <c r="O42" s="26">
        <f>'ไฟล์ต้น (2)'!Y43</f>
        <v>7.5357142857142856</v>
      </c>
      <c r="P42" s="24" t="s">
        <v>38</v>
      </c>
      <c r="Q42" s="24" t="s">
        <v>38</v>
      </c>
      <c r="R42" s="24" t="s">
        <v>38</v>
      </c>
      <c r="S42" s="24" t="s">
        <v>38</v>
      </c>
      <c r="T42" s="24" t="s">
        <v>38</v>
      </c>
      <c r="U42" s="19" t="s">
        <v>38</v>
      </c>
      <c r="V42" s="19" t="s">
        <v>38</v>
      </c>
      <c r="W42" s="19" t="s">
        <v>38</v>
      </c>
      <c r="X42" s="19" t="s">
        <v>38</v>
      </c>
      <c r="Y42" s="19" t="s">
        <v>38</v>
      </c>
    </row>
    <row r="43" spans="1:25" ht="21.75" customHeight="1" x14ac:dyDescent="0.2">
      <c r="A43" s="127" t="s">
        <v>70</v>
      </c>
      <c r="B43" s="102" t="s">
        <v>24</v>
      </c>
      <c r="C43" s="75" t="s">
        <v>38</v>
      </c>
      <c r="D43" s="75" t="s">
        <v>38</v>
      </c>
      <c r="E43" s="75">
        <v>0</v>
      </c>
      <c r="F43" s="75" t="s">
        <v>38</v>
      </c>
      <c r="G43" s="76" t="s">
        <v>38</v>
      </c>
      <c r="H43" s="76" t="s">
        <v>38</v>
      </c>
      <c r="I43" s="76">
        <v>1</v>
      </c>
      <c r="J43" s="77">
        <v>3</v>
      </c>
      <c r="K43" s="78">
        <f t="shared" si="6"/>
        <v>4</v>
      </c>
      <c r="L43" s="79">
        <v>0</v>
      </c>
      <c r="M43" s="218">
        <f t="shared" si="7"/>
        <v>4</v>
      </c>
      <c r="N43" s="26">
        <f>'ไฟล์ต้น (2)'!S44</f>
        <v>5.2779999999999996</v>
      </c>
      <c r="O43" s="26">
        <f>'ไฟล์ต้น (2)'!Y44</f>
        <v>3.8571428571428572</v>
      </c>
      <c r="P43" s="24" t="s">
        <v>38</v>
      </c>
      <c r="Q43" s="24">
        <v>1</v>
      </c>
      <c r="R43" s="24" t="s">
        <v>38</v>
      </c>
      <c r="S43" s="24" t="s">
        <v>38</v>
      </c>
      <c r="T43" s="24" t="s">
        <v>38</v>
      </c>
      <c r="U43" s="19" t="s">
        <v>38</v>
      </c>
      <c r="V43" s="19" t="s">
        <v>38</v>
      </c>
      <c r="W43" s="19" t="s">
        <v>38</v>
      </c>
      <c r="X43" s="19" t="s">
        <v>38</v>
      </c>
      <c r="Y43" s="19" t="s">
        <v>38</v>
      </c>
    </row>
    <row r="44" spans="1:25" ht="21.75" customHeight="1" x14ac:dyDescent="0.2">
      <c r="A44" s="127" t="s">
        <v>199</v>
      </c>
      <c r="B44" s="102" t="s">
        <v>198</v>
      </c>
      <c r="C44" s="75" t="s">
        <v>38</v>
      </c>
      <c r="D44" s="75" t="s">
        <v>38</v>
      </c>
      <c r="E44" s="75" t="s">
        <v>38</v>
      </c>
      <c r="F44" s="75">
        <v>1</v>
      </c>
      <c r="G44" s="76" t="s">
        <v>38</v>
      </c>
      <c r="H44" s="76" t="s">
        <v>38</v>
      </c>
      <c r="I44" s="76">
        <v>1</v>
      </c>
      <c r="J44" s="76">
        <v>2</v>
      </c>
      <c r="K44" s="130">
        <f>SUM(D44:J44)</f>
        <v>4</v>
      </c>
      <c r="L44" s="131">
        <v>0</v>
      </c>
      <c r="M44" s="238">
        <f>K44-L44</f>
        <v>4</v>
      </c>
      <c r="N44" s="33">
        <v>3.75</v>
      </c>
      <c r="O44" s="33">
        <v>4</v>
      </c>
      <c r="P44" s="24" t="s">
        <v>38</v>
      </c>
      <c r="Q44" s="24" t="s">
        <v>38</v>
      </c>
      <c r="R44" s="24" t="s">
        <v>38</v>
      </c>
      <c r="S44" s="24" t="s">
        <v>38</v>
      </c>
      <c r="T44" s="24" t="s">
        <v>38</v>
      </c>
      <c r="U44" s="19" t="s">
        <v>38</v>
      </c>
      <c r="V44" s="19" t="s">
        <v>38</v>
      </c>
      <c r="W44" s="19" t="s">
        <v>38</v>
      </c>
      <c r="X44" s="19" t="s">
        <v>38</v>
      </c>
      <c r="Y44" s="19" t="s">
        <v>38</v>
      </c>
    </row>
    <row r="45" spans="1:25" s="293" customFormat="1" ht="21.75" customHeight="1" x14ac:dyDescent="0.2">
      <c r="A45" s="148" t="s">
        <v>71</v>
      </c>
      <c r="B45" s="289"/>
      <c r="C45" s="290">
        <f t="shared" ref="C45:Y45" si="8">SUM(C46:C71)</f>
        <v>0</v>
      </c>
      <c r="D45" s="290">
        <f t="shared" si="8"/>
        <v>4</v>
      </c>
      <c r="E45" s="290">
        <f t="shared" si="8"/>
        <v>23</v>
      </c>
      <c r="F45" s="290">
        <f t="shared" si="8"/>
        <v>13</v>
      </c>
      <c r="G45" s="290">
        <f t="shared" si="8"/>
        <v>0</v>
      </c>
      <c r="H45" s="290">
        <f>SUM(H46:H71)</f>
        <v>2</v>
      </c>
      <c r="I45" s="290">
        <f>SUM(I46:I71)</f>
        <v>42</v>
      </c>
      <c r="J45" s="290">
        <f>SUM(J46:J71)</f>
        <v>65</v>
      </c>
      <c r="K45" s="291">
        <f>SUM(K46:K71)</f>
        <v>149</v>
      </c>
      <c r="L45" s="291">
        <f t="shared" si="8"/>
        <v>6</v>
      </c>
      <c r="M45" s="291">
        <f t="shared" si="8"/>
        <v>143</v>
      </c>
      <c r="N45" s="292">
        <f t="shared" si="8"/>
        <v>99.798970833333343</v>
      </c>
      <c r="O45" s="292">
        <f t="shared" si="8"/>
        <v>134.17857142857142</v>
      </c>
      <c r="P45" s="290">
        <f t="shared" si="8"/>
        <v>1</v>
      </c>
      <c r="Q45" s="290">
        <f t="shared" si="8"/>
        <v>3</v>
      </c>
      <c r="R45" s="290">
        <f t="shared" si="8"/>
        <v>2</v>
      </c>
      <c r="S45" s="290">
        <f t="shared" si="8"/>
        <v>5</v>
      </c>
      <c r="T45" s="290">
        <f t="shared" si="8"/>
        <v>0</v>
      </c>
      <c r="U45" s="290">
        <f t="shared" si="8"/>
        <v>0</v>
      </c>
      <c r="V45" s="290">
        <f t="shared" si="8"/>
        <v>0</v>
      </c>
      <c r="W45" s="290">
        <f t="shared" si="8"/>
        <v>0</v>
      </c>
      <c r="X45" s="290">
        <f t="shared" si="8"/>
        <v>0</v>
      </c>
      <c r="Y45" s="290">
        <f t="shared" si="8"/>
        <v>0</v>
      </c>
    </row>
    <row r="46" spans="1:25" ht="21.75" customHeight="1" x14ac:dyDescent="0.2">
      <c r="A46" s="258" t="s">
        <v>72</v>
      </c>
      <c r="B46" s="280" t="s">
        <v>27</v>
      </c>
      <c r="C46" s="158" t="s">
        <v>38</v>
      </c>
      <c r="D46" s="158" t="s">
        <v>38</v>
      </c>
      <c r="E46" s="158">
        <v>1</v>
      </c>
      <c r="F46" s="158">
        <v>2</v>
      </c>
      <c r="G46" s="76" t="s">
        <v>38</v>
      </c>
      <c r="H46" s="76" t="s">
        <v>38</v>
      </c>
      <c r="I46" s="76">
        <v>1</v>
      </c>
      <c r="J46" s="77">
        <v>4</v>
      </c>
      <c r="K46" s="299">
        <f t="shared" ref="K46:K71" si="9">SUM(D46:J46)</f>
        <v>8</v>
      </c>
      <c r="L46" s="79">
        <v>0</v>
      </c>
      <c r="M46" s="124">
        <f t="shared" ref="M46:M71" si="10">K46-L46</f>
        <v>8</v>
      </c>
      <c r="N46" s="26">
        <f>'ไฟล์ต้น (2)'!S47</f>
        <v>5.3622916666666667</v>
      </c>
      <c r="O46" s="26">
        <f>'ไฟล์ต้น (2)'!Y47</f>
        <v>7.25</v>
      </c>
      <c r="P46" s="24" t="s">
        <v>38</v>
      </c>
      <c r="Q46" s="24">
        <v>1</v>
      </c>
      <c r="R46" s="24" t="s">
        <v>38</v>
      </c>
      <c r="S46" s="246">
        <v>1</v>
      </c>
      <c r="T46" s="24" t="s">
        <v>38</v>
      </c>
      <c r="U46" s="19" t="s">
        <v>38</v>
      </c>
      <c r="V46" s="19" t="s">
        <v>38</v>
      </c>
      <c r="W46" s="19" t="s">
        <v>38</v>
      </c>
      <c r="X46" s="19" t="s">
        <v>38</v>
      </c>
      <c r="Y46" s="19" t="s">
        <v>38</v>
      </c>
    </row>
    <row r="47" spans="1:25" ht="21.75" customHeight="1" x14ac:dyDescent="0.2">
      <c r="A47" s="342" t="s">
        <v>73</v>
      </c>
      <c r="B47" s="102" t="s">
        <v>112</v>
      </c>
      <c r="C47" s="158" t="s">
        <v>38</v>
      </c>
      <c r="D47" s="158" t="s">
        <v>38</v>
      </c>
      <c r="E47" s="158">
        <v>1</v>
      </c>
      <c r="F47" s="158" t="s">
        <v>38</v>
      </c>
      <c r="G47" s="76" t="s">
        <v>38</v>
      </c>
      <c r="H47" s="76" t="s">
        <v>38</v>
      </c>
      <c r="I47" s="76">
        <v>2</v>
      </c>
      <c r="J47" s="77" t="s">
        <v>38</v>
      </c>
      <c r="K47" s="299">
        <f t="shared" si="9"/>
        <v>3</v>
      </c>
      <c r="L47" s="79">
        <v>0</v>
      </c>
      <c r="M47" s="124">
        <f t="shared" si="10"/>
        <v>3</v>
      </c>
      <c r="N47" s="26">
        <f>'ไฟล์ต้น (2)'!S48</f>
        <v>0.64458333333333317</v>
      </c>
      <c r="O47" s="26">
        <f>'ไฟล์ต้น (2)'!Y48</f>
        <v>0.9642857142857143</v>
      </c>
      <c r="P47" s="24" t="s">
        <v>38</v>
      </c>
      <c r="Q47" s="24" t="s">
        <v>38</v>
      </c>
      <c r="R47" s="24" t="s">
        <v>38</v>
      </c>
      <c r="S47" s="24" t="s">
        <v>38</v>
      </c>
      <c r="T47" s="24" t="s">
        <v>38</v>
      </c>
      <c r="U47" s="19" t="s">
        <v>38</v>
      </c>
      <c r="V47" s="19" t="s">
        <v>38</v>
      </c>
      <c r="W47" s="19" t="s">
        <v>38</v>
      </c>
      <c r="X47" s="19" t="s">
        <v>38</v>
      </c>
      <c r="Y47" s="19" t="s">
        <v>38</v>
      </c>
    </row>
    <row r="48" spans="1:25" ht="21.75" customHeight="1" x14ac:dyDescent="0.2">
      <c r="A48" s="342"/>
      <c r="B48" s="102" t="s">
        <v>113</v>
      </c>
      <c r="C48" s="158" t="s">
        <v>38</v>
      </c>
      <c r="D48" s="158" t="s">
        <v>38</v>
      </c>
      <c r="E48" s="158">
        <v>1</v>
      </c>
      <c r="F48" s="158" t="s">
        <v>38</v>
      </c>
      <c r="G48" s="76" t="s">
        <v>38</v>
      </c>
      <c r="H48" s="76" t="s">
        <v>38</v>
      </c>
      <c r="I48" s="76" t="s">
        <v>38</v>
      </c>
      <c r="J48" s="77">
        <v>4</v>
      </c>
      <c r="K48" s="299">
        <f t="shared" si="9"/>
        <v>5</v>
      </c>
      <c r="L48" s="79">
        <v>0</v>
      </c>
      <c r="M48" s="124">
        <f t="shared" si="10"/>
        <v>5</v>
      </c>
      <c r="N48" s="26">
        <f>'ไฟล์ต้น (2)'!S49</f>
        <v>1.9235416666666665</v>
      </c>
      <c r="O48" s="26">
        <f>'ไฟล์ต้น (2)'!Y49</f>
        <v>6.3571428571428568</v>
      </c>
      <c r="P48" s="24" t="s">
        <v>38</v>
      </c>
      <c r="Q48" s="24" t="s">
        <v>38</v>
      </c>
      <c r="R48" s="24" t="s">
        <v>38</v>
      </c>
      <c r="S48" s="24" t="s">
        <v>38</v>
      </c>
      <c r="T48" s="24" t="s">
        <v>38</v>
      </c>
      <c r="U48" s="19" t="s">
        <v>38</v>
      </c>
      <c r="V48" s="19" t="s">
        <v>38</v>
      </c>
      <c r="W48" s="19" t="s">
        <v>38</v>
      </c>
      <c r="X48" s="19" t="s">
        <v>38</v>
      </c>
      <c r="Y48" s="19" t="s">
        <v>38</v>
      </c>
    </row>
    <row r="49" spans="1:25" ht="21.75" customHeight="1" x14ac:dyDescent="0.2">
      <c r="A49" s="342"/>
      <c r="B49" s="102" t="s">
        <v>114</v>
      </c>
      <c r="C49" s="158" t="s">
        <v>38</v>
      </c>
      <c r="D49" s="158" t="s">
        <v>38</v>
      </c>
      <c r="E49" s="158">
        <v>2</v>
      </c>
      <c r="F49" s="158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299">
        <f t="shared" si="9"/>
        <v>6</v>
      </c>
      <c r="L49" s="79">
        <v>0</v>
      </c>
      <c r="M49" s="124">
        <f t="shared" si="10"/>
        <v>6</v>
      </c>
      <c r="N49" s="26">
        <f>'ไฟล์ต้น (2)'!S50</f>
        <v>8.1909722222222214</v>
      </c>
      <c r="O49" s="26">
        <f>'ไฟล์ต้น (2)'!Y50</f>
        <v>4.5</v>
      </c>
      <c r="P49" s="24" t="s">
        <v>38</v>
      </c>
      <c r="Q49" s="24" t="s">
        <v>38</v>
      </c>
      <c r="R49" s="24" t="s">
        <v>38</v>
      </c>
      <c r="S49" s="24" t="s">
        <v>38</v>
      </c>
      <c r="T49" s="24" t="s">
        <v>38</v>
      </c>
      <c r="U49" s="19" t="s">
        <v>38</v>
      </c>
      <c r="V49" s="19" t="s">
        <v>38</v>
      </c>
      <c r="W49" s="19" t="s">
        <v>38</v>
      </c>
      <c r="X49" s="19" t="s">
        <v>38</v>
      </c>
      <c r="Y49" s="19" t="s">
        <v>38</v>
      </c>
    </row>
    <row r="50" spans="1:25" ht="21.75" customHeight="1" x14ac:dyDescent="0.2">
      <c r="A50" s="342" t="s">
        <v>74</v>
      </c>
      <c r="B50" s="102" t="s">
        <v>27</v>
      </c>
      <c r="C50" s="300" t="s">
        <v>38</v>
      </c>
      <c r="D50" s="300" t="s">
        <v>38</v>
      </c>
      <c r="E50" s="300">
        <v>1</v>
      </c>
      <c r="F50" s="300">
        <v>1</v>
      </c>
      <c r="G50" s="301" t="s">
        <v>38</v>
      </c>
      <c r="H50" s="301" t="s">
        <v>38</v>
      </c>
      <c r="I50" s="301">
        <v>3</v>
      </c>
      <c r="J50" s="302">
        <v>8</v>
      </c>
      <c r="K50" s="299">
        <f t="shared" si="9"/>
        <v>13</v>
      </c>
      <c r="L50" s="79">
        <v>1</v>
      </c>
      <c r="M50" s="303">
        <v>12</v>
      </c>
      <c r="N50" s="26">
        <f>'ไฟล์ต้น (2)'!S51</f>
        <v>3.7129166666666671</v>
      </c>
      <c r="O50" s="26">
        <f>'ไฟล์ต้น (2)'!Y51</f>
        <v>8.75</v>
      </c>
      <c r="P50" s="24" t="s">
        <v>38</v>
      </c>
      <c r="Q50" s="24" t="s">
        <v>38</v>
      </c>
      <c r="R50" s="24">
        <v>1</v>
      </c>
      <c r="S50" s="24" t="s">
        <v>38</v>
      </c>
      <c r="T50" s="24" t="s">
        <v>38</v>
      </c>
      <c r="U50" s="19" t="s">
        <v>38</v>
      </c>
      <c r="V50" s="19" t="s">
        <v>38</v>
      </c>
      <c r="W50" s="19" t="s">
        <v>38</v>
      </c>
      <c r="X50" s="19" t="s">
        <v>38</v>
      </c>
      <c r="Y50" s="19" t="s">
        <v>38</v>
      </c>
    </row>
    <row r="51" spans="1:25" ht="21.75" customHeight="1" x14ac:dyDescent="0.2">
      <c r="A51" s="342"/>
      <c r="B51" s="102" t="s">
        <v>21</v>
      </c>
      <c r="C51" s="300" t="s">
        <v>38</v>
      </c>
      <c r="D51" s="300" t="s">
        <v>38</v>
      </c>
      <c r="E51" s="300">
        <v>2</v>
      </c>
      <c r="F51" s="300" t="s">
        <v>38</v>
      </c>
      <c r="G51" s="301" t="s">
        <v>38</v>
      </c>
      <c r="H51" s="301" t="s">
        <v>38</v>
      </c>
      <c r="I51" s="301">
        <v>2</v>
      </c>
      <c r="J51" s="302">
        <v>2</v>
      </c>
      <c r="K51" s="299">
        <f t="shared" si="9"/>
        <v>6</v>
      </c>
      <c r="L51" s="79">
        <v>0</v>
      </c>
      <c r="M51" s="303">
        <v>6</v>
      </c>
      <c r="N51" s="26">
        <f>'ไฟล์ต้น (2)'!S52</f>
        <v>4.1951388888888888</v>
      </c>
      <c r="O51" s="26">
        <f>'ไฟล์ต้น (2)'!Y52</f>
        <v>5.3214285714285712</v>
      </c>
      <c r="P51" s="24" t="s">
        <v>38</v>
      </c>
      <c r="Q51" s="24" t="s">
        <v>38</v>
      </c>
      <c r="R51" s="24" t="s">
        <v>38</v>
      </c>
      <c r="S51" s="24" t="s">
        <v>38</v>
      </c>
      <c r="T51" s="24" t="s">
        <v>38</v>
      </c>
      <c r="U51" s="19" t="s">
        <v>38</v>
      </c>
      <c r="V51" s="19" t="s">
        <v>38</v>
      </c>
      <c r="W51" s="19" t="s">
        <v>38</v>
      </c>
      <c r="X51" s="19" t="s">
        <v>38</v>
      </c>
      <c r="Y51" s="19" t="s">
        <v>38</v>
      </c>
    </row>
    <row r="52" spans="1:25" ht="21.75" customHeight="1" x14ac:dyDescent="0.2">
      <c r="A52" s="342" t="s">
        <v>75</v>
      </c>
      <c r="B52" s="102" t="s">
        <v>27</v>
      </c>
      <c r="C52" s="158" t="s">
        <v>38</v>
      </c>
      <c r="D52" s="158" t="s">
        <v>38</v>
      </c>
      <c r="E52" s="158">
        <v>2</v>
      </c>
      <c r="F52" s="158">
        <v>1</v>
      </c>
      <c r="G52" s="76" t="s">
        <v>38</v>
      </c>
      <c r="H52" s="76" t="s">
        <v>38</v>
      </c>
      <c r="I52" s="76">
        <v>4</v>
      </c>
      <c r="J52" s="77">
        <v>4</v>
      </c>
      <c r="K52" s="299">
        <f t="shared" si="9"/>
        <v>11</v>
      </c>
      <c r="L52" s="79">
        <v>1</v>
      </c>
      <c r="M52" s="124">
        <f t="shared" si="10"/>
        <v>10</v>
      </c>
      <c r="N52" s="26">
        <f>'ไฟล์ต้น (2)'!S53</f>
        <v>4.4916666666666663</v>
      </c>
      <c r="O52" s="26">
        <f>'ไฟล์ต้น (2)'!Y53</f>
        <v>10.392857142857142</v>
      </c>
      <c r="P52" s="24" t="s">
        <v>38</v>
      </c>
      <c r="Q52" s="24">
        <v>1</v>
      </c>
      <c r="R52" s="24">
        <v>1</v>
      </c>
      <c r="S52" s="24" t="s">
        <v>38</v>
      </c>
      <c r="T52" s="24" t="s">
        <v>38</v>
      </c>
      <c r="U52" s="19" t="s">
        <v>38</v>
      </c>
      <c r="V52" s="19" t="s">
        <v>38</v>
      </c>
      <c r="W52" s="19" t="s">
        <v>38</v>
      </c>
      <c r="X52" s="19" t="s">
        <v>38</v>
      </c>
      <c r="Y52" s="19" t="s">
        <v>38</v>
      </c>
    </row>
    <row r="53" spans="1:25" ht="21.75" customHeight="1" x14ac:dyDescent="0.2">
      <c r="A53" s="342"/>
      <c r="B53" s="102" t="s">
        <v>21</v>
      </c>
      <c r="C53" s="158" t="s">
        <v>38</v>
      </c>
      <c r="D53" s="158" t="s">
        <v>38</v>
      </c>
      <c r="E53" s="158">
        <v>1</v>
      </c>
      <c r="F53" s="158" t="s">
        <v>38</v>
      </c>
      <c r="G53" s="76" t="s">
        <v>38</v>
      </c>
      <c r="H53" s="76" t="s">
        <v>38</v>
      </c>
      <c r="I53" s="76">
        <v>4</v>
      </c>
      <c r="J53" s="77">
        <v>2</v>
      </c>
      <c r="K53" s="299">
        <f t="shared" si="9"/>
        <v>7</v>
      </c>
      <c r="L53" s="79">
        <v>0</v>
      </c>
      <c r="M53" s="124">
        <f t="shared" si="10"/>
        <v>7</v>
      </c>
      <c r="N53" s="26">
        <f>'ไฟล์ต้น (2)'!S54</f>
        <v>4.3516666666666657</v>
      </c>
      <c r="O53" s="26">
        <f>'ไฟล์ต้น (2)'!Y54</f>
        <v>5</v>
      </c>
      <c r="P53" s="24" t="s">
        <v>38</v>
      </c>
      <c r="Q53" s="24" t="s">
        <v>38</v>
      </c>
      <c r="R53" s="24" t="s">
        <v>38</v>
      </c>
      <c r="S53" s="24" t="s">
        <v>38</v>
      </c>
      <c r="T53" s="24" t="s">
        <v>38</v>
      </c>
      <c r="U53" s="19" t="s">
        <v>38</v>
      </c>
      <c r="V53" s="19" t="s">
        <v>38</v>
      </c>
      <c r="W53" s="19" t="s">
        <v>38</v>
      </c>
      <c r="X53" s="19" t="s">
        <v>38</v>
      </c>
      <c r="Y53" s="19" t="s">
        <v>38</v>
      </c>
    </row>
    <row r="54" spans="1:25" ht="21.75" customHeight="1" x14ac:dyDescent="0.2">
      <c r="A54" s="342" t="s">
        <v>76</v>
      </c>
      <c r="B54" s="102" t="s">
        <v>248</v>
      </c>
      <c r="C54" s="158" t="s">
        <v>38</v>
      </c>
      <c r="D54" s="158" t="s">
        <v>38</v>
      </c>
      <c r="E54" s="158">
        <v>1</v>
      </c>
      <c r="F54" s="158" t="s">
        <v>38</v>
      </c>
      <c r="G54" s="76" t="s">
        <v>38</v>
      </c>
      <c r="H54" s="76" t="s">
        <v>38</v>
      </c>
      <c r="I54" s="76" t="s">
        <v>38</v>
      </c>
      <c r="J54" s="77" t="s">
        <v>38</v>
      </c>
      <c r="K54" s="299">
        <f t="shared" si="9"/>
        <v>1</v>
      </c>
      <c r="L54" s="79">
        <v>0</v>
      </c>
      <c r="M54" s="124">
        <f t="shared" si="10"/>
        <v>1</v>
      </c>
      <c r="N54" s="26">
        <f>'ไฟล์ต้น (2)'!S55</f>
        <v>1.246875</v>
      </c>
      <c r="O54" s="26">
        <f>'ไฟล์ต้น (2)'!Y55</f>
        <v>1.3571428571428572</v>
      </c>
      <c r="P54" s="24" t="s">
        <v>38</v>
      </c>
      <c r="Q54" s="24" t="s">
        <v>38</v>
      </c>
      <c r="R54" s="24" t="s">
        <v>38</v>
      </c>
      <c r="S54" s="24">
        <v>1</v>
      </c>
      <c r="T54" s="24" t="s">
        <v>38</v>
      </c>
      <c r="U54" s="19" t="s">
        <v>38</v>
      </c>
      <c r="V54" s="19" t="s">
        <v>38</v>
      </c>
      <c r="W54" s="19" t="s">
        <v>38</v>
      </c>
      <c r="X54" s="19" t="s">
        <v>38</v>
      </c>
      <c r="Y54" s="19" t="s">
        <v>38</v>
      </c>
    </row>
    <row r="55" spans="1:25" ht="21.75" customHeight="1" x14ac:dyDescent="0.2">
      <c r="A55" s="342"/>
      <c r="B55" s="102" t="s">
        <v>115</v>
      </c>
      <c r="C55" s="158" t="s">
        <v>38</v>
      </c>
      <c r="D55" s="158" t="s">
        <v>38</v>
      </c>
      <c r="E55" s="158" t="s">
        <v>38</v>
      </c>
      <c r="F55" s="158" t="s">
        <v>38</v>
      </c>
      <c r="G55" s="76" t="s">
        <v>38</v>
      </c>
      <c r="H55" s="76" t="s">
        <v>38</v>
      </c>
      <c r="I55" s="76">
        <v>2</v>
      </c>
      <c r="J55" s="77">
        <v>3</v>
      </c>
      <c r="K55" s="299">
        <f t="shared" si="9"/>
        <v>5</v>
      </c>
      <c r="L55" s="79">
        <v>0</v>
      </c>
      <c r="M55" s="124">
        <f t="shared" si="10"/>
        <v>5</v>
      </c>
      <c r="N55" s="26">
        <f>'ไฟล์ต้น (2)'!S56</f>
        <v>1.6172916666666666</v>
      </c>
      <c r="O55" s="26">
        <f>'ไฟล์ต้น (2)'!Y56</f>
        <v>6.9642857142857144</v>
      </c>
      <c r="P55" s="24" t="s">
        <v>38</v>
      </c>
      <c r="Q55" s="24" t="s">
        <v>38</v>
      </c>
      <c r="R55" s="24" t="s">
        <v>38</v>
      </c>
      <c r="S55" s="24" t="s">
        <v>38</v>
      </c>
      <c r="T55" s="24" t="s">
        <v>38</v>
      </c>
      <c r="U55" s="19" t="s">
        <v>38</v>
      </c>
      <c r="V55" s="19" t="s">
        <v>38</v>
      </c>
      <c r="W55" s="19" t="s">
        <v>38</v>
      </c>
      <c r="X55" s="19" t="s">
        <v>38</v>
      </c>
      <c r="Y55" s="19" t="s">
        <v>38</v>
      </c>
    </row>
    <row r="56" spans="1:25" ht="21.75" customHeight="1" x14ac:dyDescent="0.2">
      <c r="A56" s="342"/>
      <c r="B56" s="102" t="s">
        <v>121</v>
      </c>
      <c r="C56" s="158" t="s">
        <v>38</v>
      </c>
      <c r="D56" s="158" t="s">
        <v>38</v>
      </c>
      <c r="E56" s="158">
        <v>1</v>
      </c>
      <c r="F56" s="158" t="s">
        <v>38</v>
      </c>
      <c r="G56" s="76" t="s">
        <v>38</v>
      </c>
      <c r="H56" s="76" t="s">
        <v>38</v>
      </c>
      <c r="I56" s="76" t="s">
        <v>38</v>
      </c>
      <c r="J56" s="76" t="s">
        <v>38</v>
      </c>
      <c r="K56" s="299">
        <f t="shared" si="9"/>
        <v>1</v>
      </c>
      <c r="L56" s="79">
        <v>0</v>
      </c>
      <c r="M56" s="124">
        <f t="shared" si="10"/>
        <v>1</v>
      </c>
      <c r="N56" s="26">
        <f>'ไฟล์ต้น (2)'!S57</f>
        <v>7.395150000000001</v>
      </c>
      <c r="O56" s="26">
        <f>'ไฟล์ต้น (2)'!Y57</f>
        <v>4.1428571428571432</v>
      </c>
      <c r="P56" s="24" t="s">
        <v>38</v>
      </c>
      <c r="Q56" s="24" t="s">
        <v>38</v>
      </c>
      <c r="R56" s="24" t="s">
        <v>38</v>
      </c>
      <c r="S56" s="24" t="s">
        <v>38</v>
      </c>
      <c r="T56" s="24" t="s">
        <v>38</v>
      </c>
      <c r="U56" s="19" t="s">
        <v>38</v>
      </c>
      <c r="V56" s="19" t="s">
        <v>38</v>
      </c>
      <c r="W56" s="19" t="s">
        <v>38</v>
      </c>
      <c r="X56" s="19" t="s">
        <v>38</v>
      </c>
      <c r="Y56" s="19" t="s">
        <v>38</v>
      </c>
    </row>
    <row r="57" spans="1:25" ht="21.75" customHeight="1" x14ac:dyDescent="0.2">
      <c r="A57" s="342"/>
      <c r="B57" s="102" t="s">
        <v>116</v>
      </c>
      <c r="C57" s="158" t="s">
        <v>38</v>
      </c>
      <c r="D57" s="158">
        <v>1</v>
      </c>
      <c r="E57" s="158">
        <v>1</v>
      </c>
      <c r="F57" s="158" t="s">
        <v>38</v>
      </c>
      <c r="G57" s="76" t="s">
        <v>38</v>
      </c>
      <c r="H57" s="76">
        <v>1</v>
      </c>
      <c r="I57" s="76">
        <v>3</v>
      </c>
      <c r="J57" s="77">
        <v>1</v>
      </c>
      <c r="K57" s="299">
        <f t="shared" si="9"/>
        <v>7</v>
      </c>
      <c r="L57" s="79">
        <v>1</v>
      </c>
      <c r="M57" s="124">
        <f t="shared" si="10"/>
        <v>6</v>
      </c>
      <c r="N57" s="26">
        <f>'ไฟล์ต้น (2)'!S58</f>
        <v>4.6044444444444439</v>
      </c>
      <c r="O57" s="26">
        <f>'ไฟล์ต้น (2)'!Y58</f>
        <v>3.8571428571428572</v>
      </c>
      <c r="P57" s="24" t="s">
        <v>38</v>
      </c>
      <c r="Q57" s="24" t="s">
        <v>38</v>
      </c>
      <c r="R57" s="24" t="s">
        <v>38</v>
      </c>
      <c r="S57" s="24">
        <v>2</v>
      </c>
      <c r="T57" s="24" t="s">
        <v>38</v>
      </c>
      <c r="U57" s="19" t="s">
        <v>38</v>
      </c>
      <c r="V57" s="19" t="s">
        <v>38</v>
      </c>
      <c r="W57" s="19" t="s">
        <v>38</v>
      </c>
      <c r="X57" s="19" t="s">
        <v>38</v>
      </c>
      <c r="Y57" s="19" t="s">
        <v>38</v>
      </c>
    </row>
    <row r="58" spans="1:25" ht="21.75" customHeight="1" x14ac:dyDescent="0.2">
      <c r="A58" s="162" t="s">
        <v>77</v>
      </c>
      <c r="B58" s="102" t="s">
        <v>27</v>
      </c>
      <c r="C58" s="158" t="s">
        <v>38</v>
      </c>
      <c r="D58" s="158">
        <v>1</v>
      </c>
      <c r="E58" s="158" t="s">
        <v>38</v>
      </c>
      <c r="F58" s="158" t="s">
        <v>38</v>
      </c>
      <c r="G58" s="76" t="s">
        <v>38</v>
      </c>
      <c r="H58" s="76">
        <v>1</v>
      </c>
      <c r="I58" s="76" t="s">
        <v>38</v>
      </c>
      <c r="J58" s="77">
        <v>3</v>
      </c>
      <c r="K58" s="299">
        <f t="shared" si="9"/>
        <v>5</v>
      </c>
      <c r="L58" s="79">
        <v>0</v>
      </c>
      <c r="M58" s="124">
        <f t="shared" si="10"/>
        <v>5</v>
      </c>
      <c r="N58" s="26">
        <f>'ไฟล์ต้น (2)'!S59</f>
        <v>8.6056249999999999</v>
      </c>
      <c r="O58" s="26">
        <f>'ไฟล์ต้น (2)'!Y59</f>
        <v>4.1785714285714288</v>
      </c>
      <c r="P58" s="24" t="s">
        <v>38</v>
      </c>
      <c r="Q58" s="24" t="s">
        <v>38</v>
      </c>
      <c r="R58" s="24" t="s">
        <v>38</v>
      </c>
      <c r="S58" s="24" t="s">
        <v>38</v>
      </c>
      <c r="T58" s="24" t="s">
        <v>38</v>
      </c>
      <c r="U58" s="19" t="s">
        <v>38</v>
      </c>
      <c r="V58" s="19" t="s">
        <v>38</v>
      </c>
      <c r="W58" s="19" t="s">
        <v>38</v>
      </c>
      <c r="X58" s="19" t="s">
        <v>38</v>
      </c>
      <c r="Y58" s="19" t="s">
        <v>38</v>
      </c>
    </row>
    <row r="59" spans="1:25" ht="21.75" customHeight="1" x14ac:dyDescent="0.2">
      <c r="A59" s="343"/>
      <c r="B59" s="102" t="s">
        <v>182</v>
      </c>
      <c r="C59" s="158" t="s">
        <v>38</v>
      </c>
      <c r="D59" s="158" t="s">
        <v>38</v>
      </c>
      <c r="E59" s="158">
        <v>2</v>
      </c>
      <c r="F59" s="158" t="s">
        <v>38</v>
      </c>
      <c r="G59" s="76" t="s">
        <v>38</v>
      </c>
      <c r="H59" s="76" t="s">
        <v>38</v>
      </c>
      <c r="I59" s="76">
        <v>1</v>
      </c>
      <c r="J59" s="77" t="s">
        <v>38</v>
      </c>
      <c r="K59" s="299">
        <f t="shared" si="9"/>
        <v>3</v>
      </c>
      <c r="L59" s="79">
        <v>0</v>
      </c>
      <c r="M59" s="124">
        <f t="shared" si="10"/>
        <v>3</v>
      </c>
      <c r="N59" s="26">
        <f>'ไฟล์ต้น (2)'!S61</f>
        <v>0.18156249999999999</v>
      </c>
      <c r="O59" s="26">
        <f>'ไฟล์ต้น (2)'!Y61</f>
        <v>1.7142857142857142</v>
      </c>
      <c r="P59" s="24" t="s">
        <v>38</v>
      </c>
      <c r="Q59" s="24" t="s">
        <v>38</v>
      </c>
      <c r="R59" s="24" t="s">
        <v>38</v>
      </c>
      <c r="S59" s="24" t="s">
        <v>38</v>
      </c>
      <c r="T59" s="24" t="s">
        <v>38</v>
      </c>
      <c r="U59" s="19" t="s">
        <v>38</v>
      </c>
      <c r="V59" s="19" t="s">
        <v>38</v>
      </c>
      <c r="W59" s="19" t="s">
        <v>38</v>
      </c>
      <c r="X59" s="19" t="s">
        <v>38</v>
      </c>
      <c r="Y59" s="19" t="s">
        <v>38</v>
      </c>
    </row>
    <row r="60" spans="1:25" ht="21.75" customHeight="1" x14ac:dyDescent="0.2">
      <c r="A60" s="343"/>
      <c r="B60" s="102" t="s">
        <v>117</v>
      </c>
      <c r="C60" s="158" t="s">
        <v>38</v>
      </c>
      <c r="D60" s="158" t="s">
        <v>38</v>
      </c>
      <c r="E60" s="158" t="s">
        <v>38</v>
      </c>
      <c r="F60" s="158">
        <v>2</v>
      </c>
      <c r="G60" s="76" t="s">
        <v>38</v>
      </c>
      <c r="H60" s="76" t="s">
        <v>38</v>
      </c>
      <c r="I60" s="76">
        <v>1</v>
      </c>
      <c r="J60" s="77">
        <v>4</v>
      </c>
      <c r="K60" s="299">
        <f t="shared" si="9"/>
        <v>7</v>
      </c>
      <c r="L60" s="79">
        <v>1</v>
      </c>
      <c r="M60" s="124">
        <f t="shared" si="10"/>
        <v>6</v>
      </c>
      <c r="N60" s="26">
        <f>'ไฟล์ต้น (2)'!S62</f>
        <v>4.4916666666666663</v>
      </c>
      <c r="O60" s="26">
        <f>'ไฟล์ต้น (2)'!Y62</f>
        <v>13.214285714285714</v>
      </c>
      <c r="P60" s="24" t="s">
        <v>38</v>
      </c>
      <c r="Q60" s="24" t="s">
        <v>38</v>
      </c>
      <c r="R60" s="24" t="s">
        <v>38</v>
      </c>
      <c r="S60" s="24" t="s">
        <v>38</v>
      </c>
      <c r="T60" s="24" t="s">
        <v>38</v>
      </c>
      <c r="U60" s="19" t="s">
        <v>38</v>
      </c>
      <c r="V60" s="19" t="s">
        <v>38</v>
      </c>
      <c r="W60" s="19" t="s">
        <v>38</v>
      </c>
      <c r="X60" s="19" t="s">
        <v>38</v>
      </c>
      <c r="Y60" s="19" t="s">
        <v>38</v>
      </c>
    </row>
    <row r="61" spans="1:25" ht="21.75" customHeight="1" x14ac:dyDescent="0.2">
      <c r="A61" s="343"/>
      <c r="B61" s="102" t="s">
        <v>42</v>
      </c>
      <c r="C61" s="158" t="s">
        <v>38</v>
      </c>
      <c r="D61" s="158" t="s">
        <v>38</v>
      </c>
      <c r="E61" s="158" t="s">
        <v>38</v>
      </c>
      <c r="F61" s="158" t="s">
        <v>38</v>
      </c>
      <c r="G61" s="76" t="s">
        <v>38</v>
      </c>
      <c r="H61" s="76" t="s">
        <v>38</v>
      </c>
      <c r="I61" s="76">
        <v>3</v>
      </c>
      <c r="J61" s="77">
        <v>3</v>
      </c>
      <c r="K61" s="299">
        <f t="shared" si="9"/>
        <v>6</v>
      </c>
      <c r="L61" s="79">
        <v>0</v>
      </c>
      <c r="M61" s="124">
        <f t="shared" si="10"/>
        <v>6</v>
      </c>
      <c r="N61" s="26">
        <f>'ไฟล์ต้น (2)'!S63</f>
        <v>1.3314583333333334</v>
      </c>
      <c r="O61" s="26">
        <f>'ไฟล์ต้น (2)'!Y63</f>
        <v>6.5</v>
      </c>
      <c r="P61" s="24" t="s">
        <v>38</v>
      </c>
      <c r="Q61" s="24" t="s">
        <v>38</v>
      </c>
      <c r="R61" s="24" t="s">
        <v>38</v>
      </c>
      <c r="S61" s="24" t="s">
        <v>38</v>
      </c>
      <c r="T61" s="24" t="s">
        <v>38</v>
      </c>
      <c r="U61" s="19" t="s">
        <v>38</v>
      </c>
      <c r="V61" s="19" t="s">
        <v>38</v>
      </c>
      <c r="W61" s="19" t="s">
        <v>38</v>
      </c>
      <c r="X61" s="19" t="s">
        <v>38</v>
      </c>
      <c r="Y61" s="19" t="s">
        <v>38</v>
      </c>
    </row>
    <row r="62" spans="1:25" ht="21.75" customHeight="1" x14ac:dyDescent="0.2">
      <c r="A62" s="343"/>
      <c r="B62" s="102" t="s">
        <v>43</v>
      </c>
      <c r="C62" s="158" t="s">
        <v>38</v>
      </c>
      <c r="D62" s="158" t="s">
        <v>38</v>
      </c>
      <c r="E62" s="158" t="s">
        <v>38</v>
      </c>
      <c r="F62" s="158">
        <v>2</v>
      </c>
      <c r="G62" s="76" t="s">
        <v>38</v>
      </c>
      <c r="H62" s="76" t="s">
        <v>38</v>
      </c>
      <c r="I62" s="76">
        <v>2</v>
      </c>
      <c r="J62" s="77">
        <v>1</v>
      </c>
      <c r="K62" s="299">
        <f t="shared" si="9"/>
        <v>5</v>
      </c>
      <c r="L62" s="79">
        <v>0</v>
      </c>
      <c r="M62" s="124">
        <f>K62-L62</f>
        <v>5</v>
      </c>
      <c r="N62" s="26">
        <f>'ไฟล์ต้น (2)'!S63</f>
        <v>1.3314583333333334</v>
      </c>
      <c r="O62" s="26">
        <f>'ไฟล์ต้น (2)'!Y63</f>
        <v>6.5</v>
      </c>
      <c r="P62" s="24" t="s">
        <v>38</v>
      </c>
      <c r="Q62" s="24" t="s">
        <v>38</v>
      </c>
      <c r="R62" s="24" t="s">
        <v>38</v>
      </c>
      <c r="S62" s="24" t="s">
        <v>38</v>
      </c>
      <c r="T62" s="24" t="s">
        <v>38</v>
      </c>
      <c r="U62" s="19" t="s">
        <v>38</v>
      </c>
      <c r="V62" s="19" t="s">
        <v>38</v>
      </c>
      <c r="W62" s="19" t="s">
        <v>38</v>
      </c>
      <c r="X62" s="19" t="s">
        <v>38</v>
      </c>
      <c r="Y62" s="19" t="s">
        <v>38</v>
      </c>
    </row>
    <row r="63" spans="1:25" ht="21.75" customHeight="1" x14ac:dyDescent="0.2">
      <c r="A63" s="298" t="s">
        <v>267</v>
      </c>
      <c r="B63" s="163" t="s">
        <v>268</v>
      </c>
      <c r="C63" s="158" t="s">
        <v>38</v>
      </c>
      <c r="D63" s="158" t="s">
        <v>38</v>
      </c>
      <c r="E63" s="158" t="s">
        <v>38</v>
      </c>
      <c r="F63" s="158">
        <v>2</v>
      </c>
      <c r="G63" s="76" t="s">
        <v>38</v>
      </c>
      <c r="H63" s="76" t="s">
        <v>38</v>
      </c>
      <c r="I63" s="76">
        <v>1</v>
      </c>
      <c r="J63" s="77">
        <v>2</v>
      </c>
      <c r="K63" s="299">
        <f t="shared" si="9"/>
        <v>5</v>
      </c>
      <c r="L63" s="164" t="s">
        <v>38</v>
      </c>
      <c r="M63" s="80">
        <v>5</v>
      </c>
      <c r="N63" s="47" t="s">
        <v>38</v>
      </c>
      <c r="O63" s="47" t="s">
        <v>38</v>
      </c>
      <c r="P63" s="24" t="s">
        <v>38</v>
      </c>
      <c r="Q63" s="24" t="s">
        <v>38</v>
      </c>
      <c r="R63" s="24" t="s">
        <v>38</v>
      </c>
      <c r="S63" s="24" t="s">
        <v>38</v>
      </c>
      <c r="T63" s="24" t="s">
        <v>38</v>
      </c>
      <c r="U63" s="19" t="s">
        <v>38</v>
      </c>
      <c r="V63" s="19" t="s">
        <v>38</v>
      </c>
      <c r="W63" s="19" t="s">
        <v>38</v>
      </c>
      <c r="X63" s="19" t="s">
        <v>38</v>
      </c>
      <c r="Y63" s="19" t="s">
        <v>38</v>
      </c>
    </row>
    <row r="64" spans="1:25" ht="21.75" customHeight="1" x14ac:dyDescent="0.2">
      <c r="A64" s="343" t="s">
        <v>269</v>
      </c>
      <c r="B64" s="102" t="s">
        <v>118</v>
      </c>
      <c r="C64" s="158" t="s">
        <v>38</v>
      </c>
      <c r="D64" s="158" t="s">
        <v>38</v>
      </c>
      <c r="E64" s="158" t="s">
        <v>38</v>
      </c>
      <c r="F64" s="158" t="s">
        <v>38</v>
      </c>
      <c r="G64" s="76" t="s">
        <v>38</v>
      </c>
      <c r="H64" s="76" t="s">
        <v>38</v>
      </c>
      <c r="I64" s="76">
        <v>3</v>
      </c>
      <c r="J64" s="77" t="s">
        <v>38</v>
      </c>
      <c r="K64" s="299">
        <f t="shared" si="9"/>
        <v>3</v>
      </c>
      <c r="L64" s="79">
        <v>0</v>
      </c>
      <c r="M64" s="80">
        <f t="shared" si="10"/>
        <v>3</v>
      </c>
      <c r="N64" s="26">
        <f>'ไฟล์ต้น (2)'!S66</f>
        <v>0.22312500000000002</v>
      </c>
      <c r="O64" s="26">
        <f>'ไฟล์ต้น (2)'!Y66</f>
        <v>0.7142857142857143</v>
      </c>
      <c r="P64" s="24" t="s">
        <v>38</v>
      </c>
      <c r="Q64" s="24" t="s">
        <v>38</v>
      </c>
      <c r="R64" s="24" t="s">
        <v>38</v>
      </c>
      <c r="S64" s="24" t="s">
        <v>38</v>
      </c>
      <c r="T64" s="24" t="s">
        <v>38</v>
      </c>
      <c r="U64" s="19" t="s">
        <v>38</v>
      </c>
      <c r="V64" s="19" t="s">
        <v>38</v>
      </c>
      <c r="W64" s="19" t="s">
        <v>38</v>
      </c>
      <c r="X64" s="19" t="s">
        <v>38</v>
      </c>
      <c r="Y64" s="19" t="s">
        <v>38</v>
      </c>
    </row>
    <row r="65" spans="1:25" ht="21.75" customHeight="1" x14ac:dyDescent="0.2">
      <c r="A65" s="343"/>
      <c r="B65" s="74" t="s">
        <v>119</v>
      </c>
      <c r="C65" s="158" t="s">
        <v>38</v>
      </c>
      <c r="D65" s="158" t="s">
        <v>38</v>
      </c>
      <c r="E65" s="158" t="s">
        <v>38</v>
      </c>
      <c r="F65" s="158" t="s">
        <v>38</v>
      </c>
      <c r="G65" s="76" t="s">
        <v>38</v>
      </c>
      <c r="H65" s="76" t="s">
        <v>38</v>
      </c>
      <c r="I65" s="76" t="s">
        <v>38</v>
      </c>
      <c r="J65" s="77" t="s">
        <v>38</v>
      </c>
      <c r="K65" s="299">
        <f t="shared" si="9"/>
        <v>0</v>
      </c>
      <c r="L65" s="79">
        <v>0</v>
      </c>
      <c r="M65" s="80">
        <f t="shared" si="10"/>
        <v>0</v>
      </c>
      <c r="N65" s="26">
        <f>'ไฟล์ต้น (2)'!S67</f>
        <v>0.20124999999999998</v>
      </c>
      <c r="O65" s="26">
        <f>'ไฟล์ต้น (2)'!Y67</f>
        <v>1.2142857142857142</v>
      </c>
      <c r="P65" s="24" t="s">
        <v>38</v>
      </c>
      <c r="Q65" s="24" t="s">
        <v>38</v>
      </c>
      <c r="R65" s="24" t="s">
        <v>38</v>
      </c>
      <c r="S65" s="24" t="s">
        <v>38</v>
      </c>
      <c r="T65" s="24" t="s">
        <v>38</v>
      </c>
      <c r="U65" s="19" t="s">
        <v>38</v>
      </c>
      <c r="V65" s="19" t="s">
        <v>38</v>
      </c>
      <c r="W65" s="19" t="s">
        <v>38</v>
      </c>
      <c r="X65" s="19" t="s">
        <v>38</v>
      </c>
      <c r="Y65" s="19" t="s">
        <v>38</v>
      </c>
    </row>
    <row r="66" spans="1:25" ht="21.75" customHeight="1" x14ac:dyDescent="0.2">
      <c r="A66" s="343"/>
      <c r="B66" s="102" t="s">
        <v>120</v>
      </c>
      <c r="C66" s="158" t="s">
        <v>38</v>
      </c>
      <c r="D66" s="158">
        <v>1</v>
      </c>
      <c r="E66" s="158">
        <v>2</v>
      </c>
      <c r="F66" s="158">
        <v>1</v>
      </c>
      <c r="G66" s="76" t="s">
        <v>38</v>
      </c>
      <c r="H66" s="76" t="s">
        <v>38</v>
      </c>
      <c r="I66" s="76">
        <v>1</v>
      </c>
      <c r="J66" s="77">
        <v>1</v>
      </c>
      <c r="K66" s="299">
        <f t="shared" si="9"/>
        <v>6</v>
      </c>
      <c r="L66" s="79">
        <v>0</v>
      </c>
      <c r="M66" s="80">
        <f t="shared" si="10"/>
        <v>6</v>
      </c>
      <c r="N66" s="26">
        <f>'ไฟล์ต้น (2)'!S68</f>
        <v>6.8818750000000009</v>
      </c>
      <c r="O66" s="26">
        <f>'ไฟล์ต้น (2)'!Y68</f>
        <v>5.3214285714285712</v>
      </c>
      <c r="P66" s="24">
        <v>1</v>
      </c>
      <c r="Q66" s="24">
        <v>1</v>
      </c>
      <c r="R66" s="24" t="s">
        <v>38</v>
      </c>
      <c r="S66" s="24" t="s">
        <v>38</v>
      </c>
      <c r="T66" s="24" t="s">
        <v>38</v>
      </c>
      <c r="U66" s="19" t="s">
        <v>38</v>
      </c>
      <c r="V66" s="19" t="s">
        <v>38</v>
      </c>
      <c r="W66" s="19" t="s">
        <v>38</v>
      </c>
      <c r="X66" s="19" t="s">
        <v>38</v>
      </c>
      <c r="Y66" s="19" t="s">
        <v>38</v>
      </c>
    </row>
    <row r="67" spans="1:25" ht="21.75" customHeight="1" x14ac:dyDescent="0.2">
      <c r="A67" s="259" t="s">
        <v>270</v>
      </c>
      <c r="B67" s="102" t="s">
        <v>27</v>
      </c>
      <c r="C67" s="158" t="s">
        <v>38</v>
      </c>
      <c r="D67" s="158">
        <v>1</v>
      </c>
      <c r="E67" s="158">
        <v>2</v>
      </c>
      <c r="F67" s="158">
        <v>1</v>
      </c>
      <c r="G67" s="301" t="s">
        <v>38</v>
      </c>
      <c r="H67" s="301" t="s">
        <v>38</v>
      </c>
      <c r="I67" s="301">
        <v>1</v>
      </c>
      <c r="J67" s="302">
        <v>3</v>
      </c>
      <c r="K67" s="299">
        <f t="shared" si="9"/>
        <v>8</v>
      </c>
      <c r="L67" s="79">
        <v>0</v>
      </c>
      <c r="M67" s="303">
        <f t="shared" si="10"/>
        <v>8</v>
      </c>
      <c r="N67" s="26">
        <f>'ไฟล์ต้น (2)'!S69</f>
        <v>3.0552083333333333</v>
      </c>
      <c r="O67" s="26">
        <f>'ไฟล์ต้น (2)'!Y69</f>
        <v>3.8571428571428572</v>
      </c>
      <c r="P67" s="24" t="s">
        <v>38</v>
      </c>
      <c r="Q67" s="24" t="s">
        <v>38</v>
      </c>
      <c r="R67" s="24" t="s">
        <v>38</v>
      </c>
      <c r="S67" s="24" t="s">
        <v>38</v>
      </c>
      <c r="T67" s="24" t="s">
        <v>38</v>
      </c>
      <c r="U67" s="19" t="s">
        <v>38</v>
      </c>
      <c r="V67" s="19" t="s">
        <v>38</v>
      </c>
      <c r="W67" s="19" t="s">
        <v>38</v>
      </c>
      <c r="X67" s="19" t="s">
        <v>38</v>
      </c>
      <c r="Y67" s="19" t="s">
        <v>38</v>
      </c>
    </row>
    <row r="68" spans="1:25" ht="21.75" customHeight="1" x14ac:dyDescent="0.2">
      <c r="A68" s="259" t="s">
        <v>271</v>
      </c>
      <c r="B68" s="102" t="s">
        <v>27</v>
      </c>
      <c r="C68" s="158" t="s">
        <v>38</v>
      </c>
      <c r="D68" s="158" t="s">
        <v>38</v>
      </c>
      <c r="E68" s="158" t="s">
        <v>38</v>
      </c>
      <c r="F68" s="158" t="s">
        <v>38</v>
      </c>
      <c r="G68" s="76" t="s">
        <v>38</v>
      </c>
      <c r="H68" s="76" t="s">
        <v>38</v>
      </c>
      <c r="I68" s="76">
        <v>3</v>
      </c>
      <c r="J68" s="77">
        <v>5</v>
      </c>
      <c r="K68" s="299">
        <f t="shared" si="9"/>
        <v>8</v>
      </c>
      <c r="L68" s="79">
        <v>2</v>
      </c>
      <c r="M68" s="80">
        <f t="shared" si="10"/>
        <v>6</v>
      </c>
      <c r="N68" s="26">
        <f>'ไฟล์ต้น (2)'!S70</f>
        <v>16.310175000000001</v>
      </c>
      <c r="O68" s="26">
        <f>'ไฟล์ต้น (2)'!Y70</f>
        <v>9.3214285714285712</v>
      </c>
      <c r="P68" s="24" t="s">
        <v>38</v>
      </c>
      <c r="Q68" s="24" t="s">
        <v>38</v>
      </c>
      <c r="R68" s="24" t="s">
        <v>38</v>
      </c>
      <c r="S68" s="24" t="s">
        <v>38</v>
      </c>
      <c r="T68" s="24" t="s">
        <v>38</v>
      </c>
      <c r="U68" s="19" t="s">
        <v>38</v>
      </c>
      <c r="V68" s="19" t="s">
        <v>38</v>
      </c>
      <c r="W68" s="19" t="s">
        <v>38</v>
      </c>
      <c r="X68" s="19" t="s">
        <v>38</v>
      </c>
      <c r="Y68" s="19" t="s">
        <v>38</v>
      </c>
    </row>
    <row r="69" spans="1:25" ht="21.75" customHeight="1" x14ac:dyDescent="0.2">
      <c r="A69" s="259" t="s">
        <v>272</v>
      </c>
      <c r="B69" s="102" t="s">
        <v>21</v>
      </c>
      <c r="C69" s="158" t="s">
        <v>38</v>
      </c>
      <c r="D69" s="158" t="s">
        <v>38</v>
      </c>
      <c r="E69" s="158">
        <v>2</v>
      </c>
      <c r="F69" s="158">
        <v>1</v>
      </c>
      <c r="G69" s="301" t="s">
        <v>38</v>
      </c>
      <c r="H69" s="301" t="s">
        <v>38</v>
      </c>
      <c r="I69" s="301" t="s">
        <v>38</v>
      </c>
      <c r="J69" s="302">
        <v>5</v>
      </c>
      <c r="K69" s="299">
        <f t="shared" si="9"/>
        <v>8</v>
      </c>
      <c r="L69" s="305">
        <v>0</v>
      </c>
      <c r="M69" s="306">
        <f t="shared" si="10"/>
        <v>8</v>
      </c>
      <c r="N69" s="26">
        <f>'ไฟล์ต้น (2)'!S71</f>
        <v>6.4361111111111118</v>
      </c>
      <c r="O69" s="26">
        <f>'ไฟล์ต้น (2)'!Y71</f>
        <v>6.1428571428571432</v>
      </c>
      <c r="P69" s="24" t="s">
        <v>38</v>
      </c>
      <c r="Q69" s="24" t="s">
        <v>38</v>
      </c>
      <c r="R69" s="24" t="s">
        <v>38</v>
      </c>
      <c r="S69" s="246">
        <v>1</v>
      </c>
      <c r="T69" s="24" t="s">
        <v>38</v>
      </c>
      <c r="U69" s="19" t="s">
        <v>38</v>
      </c>
      <c r="V69" s="19" t="s">
        <v>38</v>
      </c>
      <c r="W69" s="19" t="s">
        <v>38</v>
      </c>
      <c r="X69" s="19" t="s">
        <v>38</v>
      </c>
      <c r="Y69" s="19" t="s">
        <v>38</v>
      </c>
    </row>
    <row r="70" spans="1:25" ht="21.75" customHeight="1" x14ac:dyDescent="0.2">
      <c r="A70" s="259" t="s">
        <v>273</v>
      </c>
      <c r="B70" s="102" t="s">
        <v>27</v>
      </c>
      <c r="C70" s="158" t="s">
        <v>38</v>
      </c>
      <c r="D70" s="158" t="s">
        <v>38</v>
      </c>
      <c r="E70" s="158" t="s">
        <v>38</v>
      </c>
      <c r="F70" s="158" t="s">
        <v>38</v>
      </c>
      <c r="G70" s="301" t="s">
        <v>38</v>
      </c>
      <c r="H70" s="301" t="s">
        <v>38</v>
      </c>
      <c r="I70" s="301">
        <v>3</v>
      </c>
      <c r="J70" s="302">
        <v>4</v>
      </c>
      <c r="K70" s="299">
        <f t="shared" si="9"/>
        <v>7</v>
      </c>
      <c r="L70" s="307">
        <v>0</v>
      </c>
      <c r="M70" s="303">
        <f t="shared" si="10"/>
        <v>7</v>
      </c>
      <c r="N70" s="26">
        <f>'ไฟล์ต้น (2)'!S72</f>
        <v>1.5064583333333332</v>
      </c>
      <c r="O70" s="26">
        <f>'ไฟล์ต้น (2)'!Y72</f>
        <v>5.3214285714285712</v>
      </c>
      <c r="P70" s="24" t="s">
        <v>38</v>
      </c>
      <c r="Q70" s="24" t="s">
        <v>38</v>
      </c>
      <c r="R70" s="24" t="s">
        <v>38</v>
      </c>
      <c r="S70" s="24" t="s">
        <v>38</v>
      </c>
      <c r="T70" s="24" t="s">
        <v>38</v>
      </c>
      <c r="U70" s="19" t="s">
        <v>38</v>
      </c>
      <c r="V70" s="19" t="s">
        <v>38</v>
      </c>
      <c r="W70" s="19" t="s">
        <v>38</v>
      </c>
      <c r="X70" s="19" t="s">
        <v>38</v>
      </c>
      <c r="Y70" s="19" t="s">
        <v>38</v>
      </c>
    </row>
    <row r="71" spans="1:25" ht="21.75" customHeight="1" x14ac:dyDescent="0.2">
      <c r="A71" s="259" t="s">
        <v>274</v>
      </c>
      <c r="B71" s="102" t="s">
        <v>27</v>
      </c>
      <c r="C71" s="158" t="s">
        <v>38</v>
      </c>
      <c r="D71" s="158" t="s">
        <v>38</v>
      </c>
      <c r="E71" s="158">
        <v>1</v>
      </c>
      <c r="F71" s="158" t="s">
        <v>38</v>
      </c>
      <c r="G71" s="76" t="s">
        <v>38</v>
      </c>
      <c r="H71" s="76" t="s">
        <v>38</v>
      </c>
      <c r="I71" s="76">
        <v>2</v>
      </c>
      <c r="J71" s="77">
        <v>2</v>
      </c>
      <c r="K71" s="299">
        <f t="shared" si="9"/>
        <v>5</v>
      </c>
      <c r="L71" s="79">
        <v>0</v>
      </c>
      <c r="M71" s="124">
        <f t="shared" si="10"/>
        <v>5</v>
      </c>
      <c r="N71" s="26">
        <f>'ไฟล์ต้น (2)'!S72</f>
        <v>1.5064583333333332</v>
      </c>
      <c r="O71" s="26">
        <f>'ไฟล์ต้น (2)'!Y72</f>
        <v>5.3214285714285712</v>
      </c>
      <c r="P71" s="24" t="s">
        <v>38</v>
      </c>
      <c r="Q71" s="24" t="s">
        <v>38</v>
      </c>
      <c r="R71" s="24" t="s">
        <v>38</v>
      </c>
      <c r="S71" s="24" t="s">
        <v>38</v>
      </c>
      <c r="T71" s="24" t="s">
        <v>38</v>
      </c>
      <c r="U71" s="19" t="s">
        <v>38</v>
      </c>
      <c r="V71" s="19" t="s">
        <v>38</v>
      </c>
      <c r="W71" s="19" t="s">
        <v>38</v>
      </c>
      <c r="X71" s="19" t="s">
        <v>38</v>
      </c>
      <c r="Y71" s="19" t="s">
        <v>38</v>
      </c>
    </row>
    <row r="72" spans="1:25" s="293" customFormat="1" ht="21.75" customHeight="1" x14ac:dyDescent="0.55000000000000004">
      <c r="A72" s="176" t="s">
        <v>85</v>
      </c>
      <c r="B72" s="294"/>
      <c r="C72" s="290">
        <f t="shared" ref="C72:Y72" si="11">SUM(C73:C88)</f>
        <v>0</v>
      </c>
      <c r="D72" s="290">
        <f t="shared" si="11"/>
        <v>6</v>
      </c>
      <c r="E72" s="290">
        <f t="shared" si="11"/>
        <v>12</v>
      </c>
      <c r="F72" s="290">
        <f t="shared" si="11"/>
        <v>15</v>
      </c>
      <c r="G72" s="290">
        <f t="shared" si="11"/>
        <v>0</v>
      </c>
      <c r="H72" s="290">
        <f t="shared" si="11"/>
        <v>1</v>
      </c>
      <c r="I72" s="290">
        <f t="shared" si="11"/>
        <v>18</v>
      </c>
      <c r="J72" s="290">
        <f t="shared" si="11"/>
        <v>46</v>
      </c>
      <c r="K72" s="290">
        <f t="shared" si="11"/>
        <v>98</v>
      </c>
      <c r="L72" s="290">
        <f t="shared" si="11"/>
        <v>1</v>
      </c>
      <c r="M72" s="290">
        <f t="shared" si="11"/>
        <v>97</v>
      </c>
      <c r="N72" s="292">
        <f t="shared" si="11"/>
        <v>112.87506533333334</v>
      </c>
      <c r="O72" s="292">
        <f t="shared" si="11"/>
        <v>99.75</v>
      </c>
      <c r="P72" s="290">
        <f t="shared" si="11"/>
        <v>4</v>
      </c>
      <c r="Q72" s="290">
        <f t="shared" si="11"/>
        <v>0</v>
      </c>
      <c r="R72" s="290">
        <f t="shared" si="11"/>
        <v>2</v>
      </c>
      <c r="S72" s="290">
        <f t="shared" si="11"/>
        <v>0</v>
      </c>
      <c r="T72" s="290">
        <f t="shared" si="11"/>
        <v>2</v>
      </c>
      <c r="U72" s="290">
        <f t="shared" si="11"/>
        <v>0</v>
      </c>
      <c r="V72" s="290">
        <f t="shared" si="11"/>
        <v>0</v>
      </c>
      <c r="W72" s="290">
        <f t="shared" si="11"/>
        <v>0</v>
      </c>
      <c r="X72" s="290">
        <f t="shared" si="11"/>
        <v>0</v>
      </c>
      <c r="Y72" s="290">
        <f t="shared" si="11"/>
        <v>0</v>
      </c>
    </row>
    <row r="73" spans="1:25" ht="21.75" customHeight="1" x14ac:dyDescent="0.55000000000000004">
      <c r="A73" s="177" t="s">
        <v>86</v>
      </c>
      <c r="B73" s="178" t="s">
        <v>33</v>
      </c>
      <c r="C73" s="158" t="s">
        <v>38</v>
      </c>
      <c r="D73" s="75">
        <v>1</v>
      </c>
      <c r="E73" s="75">
        <v>2</v>
      </c>
      <c r="F73" s="75">
        <v>1</v>
      </c>
      <c r="G73" s="76" t="s">
        <v>38</v>
      </c>
      <c r="H73" s="76" t="s">
        <v>38</v>
      </c>
      <c r="I73" s="76">
        <v>3</v>
      </c>
      <c r="J73" s="77">
        <v>4</v>
      </c>
      <c r="K73" s="78">
        <f>SUM(C73:J73)</f>
        <v>11</v>
      </c>
      <c r="L73" s="79">
        <v>0</v>
      </c>
      <c r="M73" s="218">
        <f>K73-L73</f>
        <v>11</v>
      </c>
      <c r="N73" s="26">
        <f>'ไฟล์ต้น (2)'!S75</f>
        <v>12.949859999999999</v>
      </c>
      <c r="O73" s="26">
        <f>'ไฟล์ต้น (2)'!Y75</f>
        <v>11.357142857142858</v>
      </c>
      <c r="P73" s="24" t="s">
        <v>38</v>
      </c>
      <c r="Q73" s="24" t="s">
        <v>38</v>
      </c>
      <c r="R73" s="24" t="s">
        <v>38</v>
      </c>
      <c r="S73" s="24" t="s">
        <v>38</v>
      </c>
      <c r="T73" s="246">
        <v>1</v>
      </c>
      <c r="U73" s="19" t="s">
        <v>38</v>
      </c>
      <c r="V73" s="19" t="s">
        <v>38</v>
      </c>
      <c r="W73" s="19" t="s">
        <v>38</v>
      </c>
      <c r="X73" s="19" t="s">
        <v>38</v>
      </c>
      <c r="Y73" s="19" t="s">
        <v>38</v>
      </c>
    </row>
    <row r="74" spans="1:25" ht="21.75" customHeight="1" x14ac:dyDescent="0.55000000000000004">
      <c r="A74" s="177" t="s">
        <v>87</v>
      </c>
      <c r="B74" s="178" t="s">
        <v>31</v>
      </c>
      <c r="C74" s="158" t="s">
        <v>38</v>
      </c>
      <c r="D74" s="75" t="s">
        <v>38</v>
      </c>
      <c r="E74" s="75">
        <v>2</v>
      </c>
      <c r="F74" s="75">
        <v>3</v>
      </c>
      <c r="G74" s="76" t="s">
        <v>38</v>
      </c>
      <c r="H74" s="76" t="s">
        <v>38</v>
      </c>
      <c r="I74" s="76">
        <v>1</v>
      </c>
      <c r="J74" s="77">
        <v>3</v>
      </c>
      <c r="K74" s="78">
        <f t="shared" ref="K74:K88" si="12">SUM(C74:J74)</f>
        <v>9</v>
      </c>
      <c r="L74" s="79">
        <v>0</v>
      </c>
      <c r="M74" s="218">
        <f t="shared" ref="M74:M88" si="13">K74-L74</f>
        <v>9</v>
      </c>
      <c r="N74" s="26">
        <f>'ไฟล์ต้น (2)'!S76</f>
        <v>9.7557600000000004</v>
      </c>
      <c r="O74" s="26">
        <f>'ไฟล์ต้น (2)'!Y76</f>
        <v>6.8928571428571432</v>
      </c>
      <c r="P74" s="24" t="s">
        <v>38</v>
      </c>
      <c r="Q74" s="24" t="s">
        <v>38</v>
      </c>
      <c r="R74" s="24" t="s">
        <v>38</v>
      </c>
      <c r="S74" s="24" t="s">
        <v>38</v>
      </c>
      <c r="T74" s="246">
        <v>1</v>
      </c>
      <c r="U74" s="19" t="s">
        <v>38</v>
      </c>
      <c r="V74" s="19" t="s">
        <v>38</v>
      </c>
      <c r="W74" s="19" t="s">
        <v>38</v>
      </c>
      <c r="X74" s="19" t="s">
        <v>38</v>
      </c>
      <c r="Y74" s="19" t="s">
        <v>38</v>
      </c>
    </row>
    <row r="75" spans="1:25" ht="21.75" customHeight="1" x14ac:dyDescent="0.55000000000000004">
      <c r="A75" s="177" t="s">
        <v>226</v>
      </c>
      <c r="B75" s="178" t="s">
        <v>31</v>
      </c>
      <c r="C75" s="158" t="s">
        <v>38</v>
      </c>
      <c r="D75" s="75" t="s">
        <v>38</v>
      </c>
      <c r="E75" s="75">
        <v>1</v>
      </c>
      <c r="F75" s="75">
        <v>1</v>
      </c>
      <c r="G75" s="76" t="s">
        <v>38</v>
      </c>
      <c r="H75" s="76" t="s">
        <v>38</v>
      </c>
      <c r="I75" s="76" t="s">
        <v>38</v>
      </c>
      <c r="J75" s="77">
        <v>4</v>
      </c>
      <c r="K75" s="78">
        <f t="shared" si="12"/>
        <v>6</v>
      </c>
      <c r="L75" s="79">
        <v>0</v>
      </c>
      <c r="M75" s="218">
        <f t="shared" si="13"/>
        <v>6</v>
      </c>
      <c r="N75" s="26">
        <f>'ไฟล์ต้น (2)'!S77</f>
        <v>8.9506200000000007</v>
      </c>
      <c r="O75" s="26">
        <f>'ไฟล์ต้น (2)'!Y77</f>
        <v>5.5</v>
      </c>
      <c r="P75" s="24" t="s">
        <v>38</v>
      </c>
      <c r="Q75" s="24" t="s">
        <v>38</v>
      </c>
      <c r="R75" s="24" t="s">
        <v>38</v>
      </c>
      <c r="S75" s="24" t="s">
        <v>38</v>
      </c>
      <c r="T75" s="24" t="s">
        <v>38</v>
      </c>
      <c r="U75" s="19" t="s">
        <v>38</v>
      </c>
      <c r="V75" s="19" t="s">
        <v>38</v>
      </c>
      <c r="W75" s="19" t="s">
        <v>38</v>
      </c>
      <c r="X75" s="19" t="s">
        <v>38</v>
      </c>
      <c r="Y75" s="19" t="s">
        <v>38</v>
      </c>
    </row>
    <row r="76" spans="1:25" ht="21.75" customHeight="1" x14ac:dyDescent="0.55000000000000004">
      <c r="A76" s="344" t="s">
        <v>89</v>
      </c>
      <c r="B76" s="178" t="s">
        <v>39</v>
      </c>
      <c r="C76" s="158" t="s">
        <v>38</v>
      </c>
      <c r="D76" s="75" t="s">
        <v>38</v>
      </c>
      <c r="E76" s="75" t="s">
        <v>38</v>
      </c>
      <c r="F76" s="75">
        <v>0</v>
      </c>
      <c r="G76" s="76" t="s">
        <v>38</v>
      </c>
      <c r="H76" s="76" t="s">
        <v>38</v>
      </c>
      <c r="I76" s="76">
        <v>0</v>
      </c>
      <c r="J76" s="77" t="s">
        <v>38</v>
      </c>
      <c r="K76" s="78">
        <f t="shared" si="12"/>
        <v>0</v>
      </c>
      <c r="L76" s="79">
        <v>0</v>
      </c>
      <c r="M76" s="218">
        <f t="shared" si="13"/>
        <v>0</v>
      </c>
      <c r="N76" s="26">
        <f>'ไฟล์ต้น (2)'!S78</f>
        <v>0.67435200000000006</v>
      </c>
      <c r="O76" s="26">
        <f>'ไฟล์ต้น (2)'!Y78</f>
        <v>0.6785714285714286</v>
      </c>
      <c r="P76" s="24" t="s">
        <v>38</v>
      </c>
      <c r="Q76" s="24" t="s">
        <v>38</v>
      </c>
      <c r="R76" s="24" t="s">
        <v>38</v>
      </c>
      <c r="S76" s="24" t="s">
        <v>38</v>
      </c>
      <c r="T76" s="24" t="s">
        <v>38</v>
      </c>
      <c r="U76" s="19" t="s">
        <v>38</v>
      </c>
      <c r="V76" s="19" t="s">
        <v>38</v>
      </c>
      <c r="W76" s="19" t="s">
        <v>38</v>
      </c>
      <c r="X76" s="19" t="s">
        <v>38</v>
      </c>
      <c r="Y76" s="19" t="s">
        <v>38</v>
      </c>
    </row>
    <row r="77" spans="1:25" ht="21.75" customHeight="1" x14ac:dyDescent="0.55000000000000004">
      <c r="A77" s="344"/>
      <c r="B77" s="180" t="s">
        <v>32</v>
      </c>
      <c r="C77" s="75" t="s">
        <v>38</v>
      </c>
      <c r="D77" s="75" t="s">
        <v>38</v>
      </c>
      <c r="E77" s="75" t="s">
        <v>38</v>
      </c>
      <c r="F77" s="75" t="s">
        <v>38</v>
      </c>
      <c r="G77" s="76" t="s">
        <v>38</v>
      </c>
      <c r="H77" s="76" t="s">
        <v>38</v>
      </c>
      <c r="I77" s="76" t="s">
        <v>38</v>
      </c>
      <c r="J77" s="77" t="s">
        <v>38</v>
      </c>
      <c r="K77" s="78">
        <f t="shared" si="12"/>
        <v>0</v>
      </c>
      <c r="L77" s="79">
        <v>0</v>
      </c>
      <c r="M77" s="218">
        <f t="shared" si="13"/>
        <v>0</v>
      </c>
      <c r="N77" s="26">
        <f>'ไฟล์ต้น (2)'!S79</f>
        <v>1.1969999999999974</v>
      </c>
      <c r="O77" s="26">
        <f>'ไฟล์ต้น (2)'!Y79</f>
        <v>1.2857142857142858</v>
      </c>
      <c r="P77" s="24" t="s">
        <v>38</v>
      </c>
      <c r="Q77" s="24" t="s">
        <v>38</v>
      </c>
      <c r="R77" s="24" t="s">
        <v>38</v>
      </c>
      <c r="S77" s="24" t="s">
        <v>38</v>
      </c>
      <c r="T77" s="24" t="s">
        <v>38</v>
      </c>
      <c r="U77" s="19" t="s">
        <v>38</v>
      </c>
      <c r="V77" s="19" t="s">
        <v>38</v>
      </c>
      <c r="W77" s="19" t="s">
        <v>38</v>
      </c>
      <c r="X77" s="19" t="s">
        <v>38</v>
      </c>
      <c r="Y77" s="19" t="s">
        <v>38</v>
      </c>
    </row>
    <row r="78" spans="1:25" ht="21.75" customHeight="1" x14ac:dyDescent="0.55000000000000004">
      <c r="A78" s="344"/>
      <c r="B78" s="178" t="s">
        <v>207</v>
      </c>
      <c r="C78" s="75" t="s">
        <v>38</v>
      </c>
      <c r="D78" s="75" t="s">
        <v>38</v>
      </c>
      <c r="E78" s="75">
        <v>1</v>
      </c>
      <c r="F78" s="75">
        <v>1</v>
      </c>
      <c r="G78" s="76" t="s">
        <v>38</v>
      </c>
      <c r="H78" s="76" t="s">
        <v>38</v>
      </c>
      <c r="I78" s="76">
        <v>6</v>
      </c>
      <c r="J78" s="77">
        <v>6</v>
      </c>
      <c r="K78" s="78">
        <f t="shared" si="12"/>
        <v>14</v>
      </c>
      <c r="L78" s="79">
        <v>1</v>
      </c>
      <c r="M78" s="218">
        <f t="shared" si="13"/>
        <v>13</v>
      </c>
      <c r="N78" s="26">
        <f>'ไฟล์ต้น (2)'!S80</f>
        <v>17.939833333333333</v>
      </c>
      <c r="O78" s="26">
        <f>'ไฟล์ต้น (2)'!Y80</f>
        <v>19.785714285714285</v>
      </c>
      <c r="P78" s="24">
        <v>2</v>
      </c>
      <c r="Q78" s="24" t="s">
        <v>38</v>
      </c>
      <c r="R78" s="24" t="s">
        <v>38</v>
      </c>
      <c r="S78" s="24" t="s">
        <v>38</v>
      </c>
      <c r="T78" s="24" t="s">
        <v>38</v>
      </c>
      <c r="U78" s="19" t="s">
        <v>38</v>
      </c>
      <c r="V78" s="19" t="s">
        <v>38</v>
      </c>
      <c r="W78" s="19" t="s">
        <v>38</v>
      </c>
      <c r="X78" s="19" t="s">
        <v>38</v>
      </c>
      <c r="Y78" s="19" t="s">
        <v>38</v>
      </c>
    </row>
    <row r="79" spans="1:25" ht="21.75" customHeight="1" x14ac:dyDescent="0.55000000000000004">
      <c r="A79" s="344"/>
      <c r="B79" s="178" t="s">
        <v>208</v>
      </c>
      <c r="C79" s="75" t="s">
        <v>38</v>
      </c>
      <c r="D79" s="75" t="s">
        <v>38</v>
      </c>
      <c r="E79" s="75" t="s">
        <v>38</v>
      </c>
      <c r="F79" s="75" t="s">
        <v>38</v>
      </c>
      <c r="G79" s="76" t="s">
        <v>38</v>
      </c>
      <c r="H79" s="76" t="s">
        <v>38</v>
      </c>
      <c r="I79" s="76">
        <v>1</v>
      </c>
      <c r="J79" s="77">
        <v>2</v>
      </c>
      <c r="K79" s="78">
        <f t="shared" si="12"/>
        <v>3</v>
      </c>
      <c r="L79" s="79">
        <v>0</v>
      </c>
      <c r="M79" s="218">
        <f t="shared" si="13"/>
        <v>3</v>
      </c>
      <c r="N79" s="26">
        <f>'ไฟล์ต้น (2)'!S81</f>
        <v>10.3705</v>
      </c>
      <c r="O79" s="26">
        <f>'ไฟล์ต้น (2)'!Y81</f>
        <v>4.1071428571428568</v>
      </c>
      <c r="P79" s="24" t="s">
        <v>38</v>
      </c>
      <c r="Q79" s="24" t="s">
        <v>38</v>
      </c>
      <c r="R79" s="24" t="s">
        <v>38</v>
      </c>
      <c r="S79" s="24" t="s">
        <v>38</v>
      </c>
      <c r="T79" s="24" t="s">
        <v>38</v>
      </c>
      <c r="U79" s="19" t="s">
        <v>38</v>
      </c>
      <c r="V79" s="19" t="s">
        <v>38</v>
      </c>
      <c r="W79" s="19" t="s">
        <v>38</v>
      </c>
      <c r="X79" s="19" t="s">
        <v>38</v>
      </c>
      <c r="Y79" s="19" t="s">
        <v>38</v>
      </c>
    </row>
    <row r="80" spans="1:25" ht="21.75" customHeight="1" x14ac:dyDescent="0.55000000000000004">
      <c r="A80" s="344"/>
      <c r="B80" s="178" t="s">
        <v>209</v>
      </c>
      <c r="C80" s="75" t="s">
        <v>38</v>
      </c>
      <c r="D80" s="75" t="s">
        <v>38</v>
      </c>
      <c r="E80" s="75" t="s">
        <v>38</v>
      </c>
      <c r="F80" s="75">
        <v>1</v>
      </c>
      <c r="G80" s="76" t="s">
        <v>38</v>
      </c>
      <c r="H80" s="76" t="s">
        <v>38</v>
      </c>
      <c r="I80" s="76">
        <v>2</v>
      </c>
      <c r="J80" s="77">
        <v>2</v>
      </c>
      <c r="K80" s="78">
        <f t="shared" si="12"/>
        <v>5</v>
      </c>
      <c r="L80" s="79">
        <v>0</v>
      </c>
      <c r="M80" s="218">
        <f t="shared" si="13"/>
        <v>5</v>
      </c>
      <c r="N80" s="26">
        <f>'ไฟล์ต้น (2)'!S82</f>
        <v>0.8178333333333333</v>
      </c>
      <c r="O80" s="26">
        <f>'ไฟล์ต้น (2)'!Y82</f>
        <v>4.1071428571428568</v>
      </c>
      <c r="P80" s="24">
        <v>1</v>
      </c>
      <c r="Q80" s="24" t="s">
        <v>38</v>
      </c>
      <c r="R80" s="24" t="s">
        <v>38</v>
      </c>
      <c r="S80" s="24" t="s">
        <v>38</v>
      </c>
      <c r="T80" s="24" t="s">
        <v>38</v>
      </c>
      <c r="U80" s="19" t="s">
        <v>38</v>
      </c>
      <c r="V80" s="19" t="s">
        <v>38</v>
      </c>
      <c r="W80" s="19" t="s">
        <v>38</v>
      </c>
      <c r="X80" s="19" t="s">
        <v>38</v>
      </c>
      <c r="Y80" s="19" t="s">
        <v>38</v>
      </c>
    </row>
    <row r="81" spans="1:26" ht="21.75" customHeight="1" x14ac:dyDescent="0.55000000000000004">
      <c r="A81" s="177" t="s">
        <v>90</v>
      </c>
      <c r="B81" s="178" t="s">
        <v>31</v>
      </c>
      <c r="C81" s="158" t="s">
        <v>38</v>
      </c>
      <c r="D81" s="75">
        <v>2</v>
      </c>
      <c r="E81" s="75">
        <v>2</v>
      </c>
      <c r="F81" s="75">
        <v>3</v>
      </c>
      <c r="G81" s="76" t="s">
        <v>38</v>
      </c>
      <c r="H81" s="76" t="s">
        <v>38</v>
      </c>
      <c r="I81" s="76">
        <v>1</v>
      </c>
      <c r="J81" s="77">
        <v>2</v>
      </c>
      <c r="K81" s="78">
        <f t="shared" si="12"/>
        <v>10</v>
      </c>
      <c r="L81" s="79">
        <v>0</v>
      </c>
      <c r="M81" s="218">
        <f t="shared" si="13"/>
        <v>10</v>
      </c>
      <c r="N81" s="26">
        <f>'ไฟล์ต้น (2)'!S83</f>
        <v>13.407240000000002</v>
      </c>
      <c r="O81" s="26">
        <f>'ไฟล์ต้น (2)'!Y83</f>
        <v>8.9285714285714288</v>
      </c>
      <c r="P81" s="24" t="s">
        <v>38</v>
      </c>
      <c r="Q81" s="24" t="s">
        <v>38</v>
      </c>
      <c r="R81" s="24">
        <v>2</v>
      </c>
      <c r="S81" s="24" t="s">
        <v>38</v>
      </c>
      <c r="T81" s="24" t="s">
        <v>38</v>
      </c>
      <c r="U81" s="19" t="s">
        <v>38</v>
      </c>
      <c r="V81" s="19" t="s">
        <v>38</v>
      </c>
      <c r="W81" s="19" t="s">
        <v>38</v>
      </c>
      <c r="X81" s="19" t="s">
        <v>38</v>
      </c>
      <c r="Y81" s="19" t="s">
        <v>38</v>
      </c>
    </row>
    <row r="82" spans="1:26" ht="21.75" customHeight="1" x14ac:dyDescent="0.55000000000000004">
      <c r="A82" s="177" t="s">
        <v>91</v>
      </c>
      <c r="B82" s="178" t="s">
        <v>31</v>
      </c>
      <c r="C82" s="158" t="s">
        <v>38</v>
      </c>
      <c r="D82" s="75" t="s">
        <v>38</v>
      </c>
      <c r="E82" s="75" t="s">
        <v>38</v>
      </c>
      <c r="F82" s="75">
        <v>2</v>
      </c>
      <c r="G82" s="76" t="s">
        <v>38</v>
      </c>
      <c r="H82" s="76" t="s">
        <v>38</v>
      </c>
      <c r="I82" s="76">
        <v>2</v>
      </c>
      <c r="J82" s="77">
        <v>6</v>
      </c>
      <c r="K82" s="78">
        <f t="shared" si="12"/>
        <v>10</v>
      </c>
      <c r="L82" s="79">
        <v>0</v>
      </c>
      <c r="M82" s="218">
        <f t="shared" si="13"/>
        <v>10</v>
      </c>
      <c r="N82" s="26">
        <f>'ไฟล์ต้น (2)'!S84</f>
        <v>8.5948799999999999</v>
      </c>
      <c r="O82" s="26">
        <f>'ไฟล์ต้น (2)'!Y84</f>
        <v>12.892857142857142</v>
      </c>
      <c r="P82" s="24" t="s">
        <v>38</v>
      </c>
      <c r="Q82" s="24" t="s">
        <v>38</v>
      </c>
      <c r="R82" s="24" t="s">
        <v>38</v>
      </c>
      <c r="S82" s="24" t="s">
        <v>38</v>
      </c>
      <c r="T82" s="24" t="s">
        <v>38</v>
      </c>
      <c r="U82" s="19" t="s">
        <v>38</v>
      </c>
      <c r="V82" s="19" t="s">
        <v>38</v>
      </c>
      <c r="W82" s="19" t="s">
        <v>38</v>
      </c>
      <c r="X82" s="19" t="s">
        <v>38</v>
      </c>
      <c r="Y82" s="19" t="s">
        <v>38</v>
      </c>
    </row>
    <row r="83" spans="1:26" ht="21.75" customHeight="1" x14ac:dyDescent="0.55000000000000004">
      <c r="A83" s="345" t="s">
        <v>264</v>
      </c>
      <c r="B83" s="182" t="s">
        <v>251</v>
      </c>
      <c r="C83" s="158">
        <v>0</v>
      </c>
      <c r="D83" s="75">
        <v>0</v>
      </c>
      <c r="E83" s="75">
        <v>0</v>
      </c>
      <c r="F83" s="75">
        <v>0</v>
      </c>
      <c r="G83" s="76">
        <v>0</v>
      </c>
      <c r="H83" s="76">
        <v>0</v>
      </c>
      <c r="I83" s="76">
        <v>0</v>
      </c>
      <c r="J83" s="77">
        <v>0</v>
      </c>
      <c r="K83" s="78">
        <f>SUM(C83:J83)</f>
        <v>0</v>
      </c>
      <c r="L83" s="79">
        <v>0</v>
      </c>
      <c r="M83" s="218">
        <f>K83-L83</f>
        <v>0</v>
      </c>
      <c r="N83" s="260">
        <v>0</v>
      </c>
      <c r="O83" s="260">
        <v>0</v>
      </c>
      <c r="P83" s="24" t="s">
        <v>38</v>
      </c>
      <c r="Q83" s="24" t="s">
        <v>38</v>
      </c>
      <c r="R83" s="24" t="s">
        <v>38</v>
      </c>
      <c r="S83" s="24" t="s">
        <v>38</v>
      </c>
      <c r="T83" s="24" t="s">
        <v>38</v>
      </c>
      <c r="U83" s="19" t="s">
        <v>38</v>
      </c>
      <c r="V83" s="19" t="s">
        <v>38</v>
      </c>
      <c r="W83" s="19" t="s">
        <v>38</v>
      </c>
      <c r="X83" s="19" t="s">
        <v>38</v>
      </c>
      <c r="Y83" s="19" t="s">
        <v>38</v>
      </c>
    </row>
    <row r="84" spans="1:26" ht="21.75" customHeight="1" x14ac:dyDescent="0.55000000000000004">
      <c r="A84" s="346"/>
      <c r="B84" s="182" t="s">
        <v>252</v>
      </c>
      <c r="C84" s="158">
        <v>0</v>
      </c>
      <c r="D84" s="75">
        <v>0</v>
      </c>
      <c r="E84" s="75">
        <v>0</v>
      </c>
      <c r="F84" s="75">
        <v>0</v>
      </c>
      <c r="G84" s="76">
        <v>0</v>
      </c>
      <c r="H84" s="76">
        <v>0</v>
      </c>
      <c r="I84" s="76">
        <v>1</v>
      </c>
      <c r="J84" s="77">
        <v>4</v>
      </c>
      <c r="K84" s="78">
        <f>SUM(C84:J84)</f>
        <v>5</v>
      </c>
      <c r="L84" s="79">
        <v>0</v>
      </c>
      <c r="M84" s="218">
        <f>K84-L84</f>
        <v>5</v>
      </c>
      <c r="N84" s="260">
        <v>0</v>
      </c>
      <c r="O84" s="260">
        <v>0</v>
      </c>
      <c r="P84" s="24" t="s">
        <v>38</v>
      </c>
      <c r="Q84" s="24" t="s">
        <v>38</v>
      </c>
      <c r="R84" s="24" t="s">
        <v>38</v>
      </c>
      <c r="S84" s="24" t="s">
        <v>38</v>
      </c>
      <c r="T84" s="24" t="s">
        <v>38</v>
      </c>
      <c r="U84" s="19" t="s">
        <v>38</v>
      </c>
      <c r="V84" s="19" t="s">
        <v>38</v>
      </c>
      <c r="W84" s="19" t="s">
        <v>38</v>
      </c>
      <c r="X84" s="19" t="s">
        <v>38</v>
      </c>
      <c r="Y84" s="19" t="s">
        <v>38</v>
      </c>
    </row>
    <row r="85" spans="1:26" ht="21.75" customHeight="1" x14ac:dyDescent="0.55000000000000004">
      <c r="A85" s="177" t="s">
        <v>254</v>
      </c>
      <c r="B85" s="178" t="s">
        <v>31</v>
      </c>
      <c r="C85" s="158" t="s">
        <v>38</v>
      </c>
      <c r="D85" s="75" t="s">
        <v>38</v>
      </c>
      <c r="E85" s="75">
        <v>1</v>
      </c>
      <c r="F85" s="75" t="s">
        <v>38</v>
      </c>
      <c r="G85" s="76" t="s">
        <v>38</v>
      </c>
      <c r="H85" s="76" t="s">
        <v>38</v>
      </c>
      <c r="I85" s="76" t="s">
        <v>38</v>
      </c>
      <c r="J85" s="77">
        <v>4</v>
      </c>
      <c r="K85" s="78">
        <f t="shared" si="12"/>
        <v>5</v>
      </c>
      <c r="L85" s="79">
        <v>0</v>
      </c>
      <c r="M85" s="218">
        <f t="shared" si="13"/>
        <v>5</v>
      </c>
      <c r="N85" s="26">
        <f>'ไฟล์ต้น (2)'!S85</f>
        <v>6.2815200000000004</v>
      </c>
      <c r="O85" s="26">
        <f>'ไฟล์ต้น (2)'!Y85</f>
        <v>4.1071428571428568</v>
      </c>
      <c r="P85" s="24" t="s">
        <v>38</v>
      </c>
      <c r="Q85" s="24" t="s">
        <v>38</v>
      </c>
      <c r="R85" s="24" t="s">
        <v>38</v>
      </c>
      <c r="S85" s="24" t="s">
        <v>38</v>
      </c>
      <c r="T85" s="24" t="s">
        <v>38</v>
      </c>
      <c r="U85" s="19" t="s">
        <v>38</v>
      </c>
      <c r="V85" s="19" t="s">
        <v>38</v>
      </c>
      <c r="W85" s="19" t="s">
        <v>38</v>
      </c>
      <c r="X85" s="19" t="s">
        <v>38</v>
      </c>
      <c r="Y85" s="19" t="s">
        <v>38</v>
      </c>
    </row>
    <row r="86" spans="1:26" s="23" customFormat="1" ht="21.75" customHeight="1" x14ac:dyDescent="0.55000000000000004">
      <c r="A86" s="177" t="s">
        <v>255</v>
      </c>
      <c r="B86" s="178" t="s">
        <v>30</v>
      </c>
      <c r="C86" s="158" t="s">
        <v>38</v>
      </c>
      <c r="D86" s="75">
        <v>3</v>
      </c>
      <c r="E86" s="75" t="s">
        <v>38</v>
      </c>
      <c r="F86" s="75">
        <v>1</v>
      </c>
      <c r="G86" s="76" t="s">
        <v>38</v>
      </c>
      <c r="H86" s="76">
        <v>1</v>
      </c>
      <c r="I86" s="76">
        <v>1</v>
      </c>
      <c r="J86" s="77">
        <v>2</v>
      </c>
      <c r="K86" s="78">
        <f t="shared" si="12"/>
        <v>8</v>
      </c>
      <c r="L86" s="79">
        <v>0</v>
      </c>
      <c r="M86" s="218">
        <f t="shared" si="13"/>
        <v>8</v>
      </c>
      <c r="N86" s="26">
        <f>'ไฟล์ต้น (2)'!S86</f>
        <v>2.2971666666666666</v>
      </c>
      <c r="O86" s="26">
        <f>'ไฟล์ต้น (2)'!Y86</f>
        <v>7.25</v>
      </c>
      <c r="P86" s="24">
        <v>1</v>
      </c>
      <c r="Q86" s="24" t="s">
        <v>38</v>
      </c>
      <c r="R86" s="24" t="s">
        <v>38</v>
      </c>
      <c r="S86" s="24" t="s">
        <v>38</v>
      </c>
      <c r="T86" s="24" t="s">
        <v>38</v>
      </c>
      <c r="U86" s="19" t="s">
        <v>38</v>
      </c>
      <c r="V86" s="19" t="s">
        <v>38</v>
      </c>
      <c r="W86" s="19" t="s">
        <v>38</v>
      </c>
      <c r="X86" s="19" t="s">
        <v>38</v>
      </c>
      <c r="Y86" s="19" t="s">
        <v>38</v>
      </c>
    </row>
    <row r="87" spans="1:26" ht="21.75" customHeight="1" x14ac:dyDescent="0.55000000000000004">
      <c r="A87" s="344" t="s">
        <v>256</v>
      </c>
      <c r="B87" s="178" t="s">
        <v>210</v>
      </c>
      <c r="C87" s="158" t="s">
        <v>38</v>
      </c>
      <c r="D87" s="75" t="s">
        <v>38</v>
      </c>
      <c r="E87" s="75">
        <v>1</v>
      </c>
      <c r="F87" s="75">
        <v>1</v>
      </c>
      <c r="G87" s="76" t="s">
        <v>38</v>
      </c>
      <c r="H87" s="76" t="s">
        <v>38</v>
      </c>
      <c r="I87" s="76" t="s">
        <v>38</v>
      </c>
      <c r="J87" s="77">
        <v>4</v>
      </c>
      <c r="K87" s="78">
        <f t="shared" si="12"/>
        <v>6</v>
      </c>
      <c r="L87" s="79">
        <v>0</v>
      </c>
      <c r="M87" s="218">
        <f t="shared" si="13"/>
        <v>6</v>
      </c>
      <c r="N87" s="26">
        <f>'ไฟล์ต้น (2)'!S87</f>
        <v>11.48233333333334</v>
      </c>
      <c r="O87" s="26">
        <f>'ไฟล์ต้น (2)'!Y87</f>
        <v>6.2857142857142856</v>
      </c>
      <c r="P87" s="24" t="s">
        <v>38</v>
      </c>
      <c r="Q87" s="24" t="s">
        <v>38</v>
      </c>
      <c r="R87" s="24" t="s">
        <v>38</v>
      </c>
      <c r="S87" s="24" t="s">
        <v>38</v>
      </c>
      <c r="T87" s="24" t="s">
        <v>38</v>
      </c>
      <c r="U87" s="19" t="s">
        <v>38</v>
      </c>
      <c r="V87" s="19" t="s">
        <v>38</v>
      </c>
      <c r="W87" s="19" t="s">
        <v>38</v>
      </c>
      <c r="X87" s="19" t="s">
        <v>38</v>
      </c>
      <c r="Y87" s="19" t="s">
        <v>38</v>
      </c>
      <c r="Z87" s="23"/>
    </row>
    <row r="88" spans="1:26" ht="21.75" customHeight="1" x14ac:dyDescent="0.55000000000000004">
      <c r="A88" s="344"/>
      <c r="B88" s="178" t="s">
        <v>211</v>
      </c>
      <c r="C88" s="158" t="s">
        <v>38</v>
      </c>
      <c r="D88" s="75" t="s">
        <v>38</v>
      </c>
      <c r="E88" s="75">
        <v>2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3</v>
      </c>
      <c r="K88" s="78">
        <f t="shared" si="12"/>
        <v>6</v>
      </c>
      <c r="L88" s="79">
        <v>0</v>
      </c>
      <c r="M88" s="218">
        <f t="shared" si="13"/>
        <v>6</v>
      </c>
      <c r="N88" s="26">
        <f>'ไฟล์ต้น (2)'!S88</f>
        <v>8.1561666666666675</v>
      </c>
      <c r="O88" s="26">
        <f>'ไฟล์ต้น (2)'!Y88</f>
        <v>6.5714285714285712</v>
      </c>
      <c r="P88" s="24" t="s">
        <v>38</v>
      </c>
      <c r="Q88" s="24" t="s">
        <v>38</v>
      </c>
      <c r="R88" s="24" t="s">
        <v>38</v>
      </c>
      <c r="S88" s="24" t="s">
        <v>38</v>
      </c>
      <c r="T88" s="24" t="s">
        <v>38</v>
      </c>
      <c r="U88" s="19" t="s">
        <v>38</v>
      </c>
      <c r="V88" s="19" t="s">
        <v>38</v>
      </c>
      <c r="W88" s="19" t="s">
        <v>38</v>
      </c>
      <c r="X88" s="19" t="s">
        <v>38</v>
      </c>
      <c r="Y88" s="19" t="s">
        <v>38</v>
      </c>
    </row>
    <row r="89" spans="1:26" s="297" customFormat="1" ht="21.75" customHeight="1" x14ac:dyDescent="0.55000000000000004">
      <c r="A89" s="183" t="s">
        <v>95</v>
      </c>
      <c r="B89" s="295"/>
      <c r="C89" s="290">
        <f>SUM(C90:C98)</f>
        <v>0</v>
      </c>
      <c r="D89" s="290">
        <f t="shared" ref="D89:L89" si="14">SUM(D90:D98)</f>
        <v>0</v>
      </c>
      <c r="E89" s="290">
        <f t="shared" si="14"/>
        <v>5</v>
      </c>
      <c r="F89" s="290">
        <f>SUM(F90:F98)</f>
        <v>6</v>
      </c>
      <c r="G89" s="290">
        <f t="shared" si="14"/>
        <v>0</v>
      </c>
      <c r="H89" s="290">
        <f t="shared" si="14"/>
        <v>0</v>
      </c>
      <c r="I89" s="290">
        <f t="shared" si="14"/>
        <v>16</v>
      </c>
      <c r="J89" s="290">
        <f t="shared" si="14"/>
        <v>32</v>
      </c>
      <c r="K89" s="291">
        <f t="shared" si="14"/>
        <v>59</v>
      </c>
      <c r="L89" s="291">
        <f t="shared" si="14"/>
        <v>4</v>
      </c>
      <c r="M89" s="291">
        <f>SUM(M90:M98)</f>
        <v>55</v>
      </c>
      <c r="N89" s="292">
        <f t="shared" ref="N89:Y89" si="15">SUM(N90:N98)</f>
        <v>20.459722222222222</v>
      </c>
      <c r="O89" s="292">
        <f t="shared" si="15"/>
        <v>50.857142857142854</v>
      </c>
      <c r="P89" s="290">
        <f t="shared" si="15"/>
        <v>0</v>
      </c>
      <c r="Q89" s="290">
        <f t="shared" si="15"/>
        <v>0</v>
      </c>
      <c r="R89" s="290">
        <f t="shared" si="15"/>
        <v>0</v>
      </c>
      <c r="S89" s="290">
        <f t="shared" si="15"/>
        <v>0</v>
      </c>
      <c r="T89" s="290">
        <f t="shared" si="15"/>
        <v>0</v>
      </c>
      <c r="U89" s="290">
        <f t="shared" si="15"/>
        <v>0</v>
      </c>
      <c r="V89" s="290">
        <f t="shared" si="15"/>
        <v>0</v>
      </c>
      <c r="W89" s="290">
        <f t="shared" si="15"/>
        <v>0</v>
      </c>
      <c r="X89" s="290">
        <f t="shared" si="15"/>
        <v>0</v>
      </c>
      <c r="Y89" s="290">
        <f t="shared" si="15"/>
        <v>0</v>
      </c>
      <c r="Z89" s="296"/>
    </row>
    <row r="90" spans="1:26" ht="21.75" customHeight="1" x14ac:dyDescent="0.55000000000000004">
      <c r="A90" s="177" t="s">
        <v>216</v>
      </c>
      <c r="B90" s="178" t="s">
        <v>34</v>
      </c>
      <c r="C90" s="158" t="s">
        <v>38</v>
      </c>
      <c r="D90" s="75" t="s">
        <v>38</v>
      </c>
      <c r="E90" s="75" t="s">
        <v>38</v>
      </c>
      <c r="F90" s="75">
        <v>1</v>
      </c>
      <c r="G90" s="76" t="s">
        <v>38</v>
      </c>
      <c r="H90" s="76" t="s">
        <v>38</v>
      </c>
      <c r="I90" s="76">
        <v>2</v>
      </c>
      <c r="J90" s="77">
        <v>4</v>
      </c>
      <c r="K90" s="78">
        <f t="shared" ref="K90:K98" si="16">SUM(C90:J90)</f>
        <v>7</v>
      </c>
      <c r="L90" s="79">
        <v>2</v>
      </c>
      <c r="M90" s="218">
        <f t="shared" ref="M90:M98" si="17">K90-L90</f>
        <v>5</v>
      </c>
      <c r="N90" s="84">
        <f>'ไฟล์ต้น (2)'!$Q$92</f>
        <v>0.39150000000000001</v>
      </c>
      <c r="O90" s="26">
        <f>'ไฟล์ต้น (2)'!$Y$92</f>
        <v>6.6785714285714288</v>
      </c>
      <c r="P90" s="24" t="s">
        <v>38</v>
      </c>
      <c r="Q90" s="24" t="s">
        <v>38</v>
      </c>
      <c r="R90" s="24" t="s">
        <v>38</v>
      </c>
      <c r="S90" s="24" t="s">
        <v>38</v>
      </c>
      <c r="T90" s="24" t="s">
        <v>38</v>
      </c>
      <c r="U90" s="19" t="s">
        <v>38</v>
      </c>
      <c r="V90" s="19" t="s">
        <v>38</v>
      </c>
      <c r="W90" s="19" t="s">
        <v>38</v>
      </c>
      <c r="X90" s="19" t="s">
        <v>38</v>
      </c>
      <c r="Y90" s="19" t="s">
        <v>38</v>
      </c>
    </row>
    <row r="91" spans="1:26" ht="21.75" customHeight="1" x14ac:dyDescent="0.2">
      <c r="A91" s="127" t="s">
        <v>217</v>
      </c>
      <c r="B91" s="185" t="s">
        <v>36</v>
      </c>
      <c r="C91" s="158" t="s">
        <v>38</v>
      </c>
      <c r="D91" s="75" t="s">
        <v>38</v>
      </c>
      <c r="E91" s="75">
        <v>1</v>
      </c>
      <c r="F91" s="75" t="s">
        <v>38</v>
      </c>
      <c r="G91" s="76" t="s">
        <v>38</v>
      </c>
      <c r="H91" s="76" t="s">
        <v>38</v>
      </c>
      <c r="I91" s="76">
        <v>4</v>
      </c>
      <c r="J91" s="77">
        <v>3</v>
      </c>
      <c r="K91" s="78">
        <f t="shared" si="16"/>
        <v>8</v>
      </c>
      <c r="L91" s="79">
        <v>1</v>
      </c>
      <c r="M91" s="218">
        <f t="shared" si="17"/>
        <v>7</v>
      </c>
      <c r="N91" s="26">
        <f>'ไฟล์ต้น (2)'!$Q$94</f>
        <v>5.3819444444444446</v>
      </c>
      <c r="O91" s="26">
        <f>'ไฟล์ต้น (2)'!$Y$94</f>
        <v>11.642857142857142</v>
      </c>
      <c r="P91" s="24" t="s">
        <v>38</v>
      </c>
      <c r="Q91" s="24" t="s">
        <v>38</v>
      </c>
      <c r="R91" s="24" t="s">
        <v>38</v>
      </c>
      <c r="S91" s="24" t="s">
        <v>38</v>
      </c>
      <c r="T91" s="24" t="s">
        <v>38</v>
      </c>
      <c r="U91" s="19" t="s">
        <v>38</v>
      </c>
      <c r="V91" s="19" t="s">
        <v>38</v>
      </c>
      <c r="W91" s="19" t="s">
        <v>38</v>
      </c>
      <c r="X91" s="19" t="s">
        <v>38</v>
      </c>
      <c r="Y91" s="19" t="s">
        <v>38</v>
      </c>
    </row>
    <row r="92" spans="1:26" ht="21.75" customHeight="1" x14ac:dyDescent="0.2">
      <c r="A92" s="185" t="s">
        <v>218</v>
      </c>
      <c r="B92" s="185" t="s">
        <v>124</v>
      </c>
      <c r="C92" s="158" t="s">
        <v>38</v>
      </c>
      <c r="D92" s="75" t="s">
        <v>38</v>
      </c>
      <c r="E92" s="75">
        <v>1</v>
      </c>
      <c r="F92" s="75" t="s">
        <v>38</v>
      </c>
      <c r="G92" s="76" t="s">
        <v>38</v>
      </c>
      <c r="H92" s="76" t="s">
        <v>38</v>
      </c>
      <c r="I92" s="76" t="s">
        <v>38</v>
      </c>
      <c r="J92" s="77">
        <v>5</v>
      </c>
      <c r="K92" s="78">
        <f t="shared" si="16"/>
        <v>6</v>
      </c>
      <c r="L92" s="79">
        <v>0</v>
      </c>
      <c r="M92" s="218">
        <f t="shared" si="17"/>
        <v>6</v>
      </c>
      <c r="N92" s="26">
        <f>'ไฟล์ต้น (2)'!$Q$95</f>
        <v>0.85694444444444451</v>
      </c>
      <c r="O92" s="26">
        <f>'ไฟล์ต้น (2)'!$Y$95</f>
        <v>4.0714285714285712</v>
      </c>
      <c r="P92" s="24" t="s">
        <v>38</v>
      </c>
      <c r="Q92" s="24" t="s">
        <v>38</v>
      </c>
      <c r="R92" s="24" t="s">
        <v>38</v>
      </c>
      <c r="S92" s="24" t="s">
        <v>38</v>
      </c>
      <c r="T92" s="24" t="s">
        <v>38</v>
      </c>
      <c r="U92" s="19" t="s">
        <v>38</v>
      </c>
      <c r="V92" s="19" t="s">
        <v>38</v>
      </c>
      <c r="W92" s="19" t="s">
        <v>38</v>
      </c>
      <c r="X92" s="19" t="s">
        <v>38</v>
      </c>
      <c r="Y92" s="19" t="s">
        <v>38</v>
      </c>
    </row>
    <row r="93" spans="1:26" ht="21.75" customHeight="1" x14ac:dyDescent="0.2">
      <c r="A93" s="185" t="s">
        <v>219</v>
      </c>
      <c r="B93" s="185" t="s">
        <v>124</v>
      </c>
      <c r="C93" s="158" t="s">
        <v>38</v>
      </c>
      <c r="D93" s="158" t="s">
        <v>38</v>
      </c>
      <c r="E93" s="158" t="s">
        <v>38</v>
      </c>
      <c r="F93" s="158">
        <v>1</v>
      </c>
      <c r="G93" s="76" t="s">
        <v>38</v>
      </c>
      <c r="H93" s="76" t="s">
        <v>38</v>
      </c>
      <c r="I93" s="76">
        <v>3</v>
      </c>
      <c r="J93" s="77">
        <v>3</v>
      </c>
      <c r="K93" s="78">
        <f t="shared" si="16"/>
        <v>7</v>
      </c>
      <c r="L93" s="79">
        <v>1</v>
      </c>
      <c r="M93" s="218">
        <f t="shared" si="17"/>
        <v>6</v>
      </c>
      <c r="N93" s="26">
        <f>'ไฟล์ต้น (2)'!$Q$96</f>
        <v>1.8765000000000001</v>
      </c>
      <c r="O93" s="26">
        <f>'ไฟล์ต้น (2)'!$Y$96</f>
        <v>4</v>
      </c>
      <c r="P93" s="24" t="s">
        <v>38</v>
      </c>
      <c r="Q93" s="24" t="s">
        <v>38</v>
      </c>
      <c r="R93" s="24" t="s">
        <v>38</v>
      </c>
      <c r="S93" s="24" t="s">
        <v>38</v>
      </c>
      <c r="T93" s="24" t="s">
        <v>38</v>
      </c>
      <c r="U93" s="19" t="s">
        <v>38</v>
      </c>
      <c r="V93" s="19" t="s">
        <v>38</v>
      </c>
      <c r="W93" s="19" t="s">
        <v>38</v>
      </c>
      <c r="X93" s="19" t="s">
        <v>38</v>
      </c>
      <c r="Y93" s="19" t="s">
        <v>38</v>
      </c>
    </row>
    <row r="94" spans="1:26" ht="21.75" customHeight="1" x14ac:dyDescent="0.2">
      <c r="A94" s="127" t="s">
        <v>220</v>
      </c>
      <c r="B94" s="185" t="s">
        <v>37</v>
      </c>
      <c r="C94" s="158" t="s">
        <v>38</v>
      </c>
      <c r="D94" s="75" t="s">
        <v>38</v>
      </c>
      <c r="E94" s="75">
        <v>1</v>
      </c>
      <c r="F94" s="75">
        <v>2</v>
      </c>
      <c r="G94" s="76" t="s">
        <v>38</v>
      </c>
      <c r="H94" s="76" t="s">
        <v>38</v>
      </c>
      <c r="I94" s="76">
        <v>1</v>
      </c>
      <c r="J94" s="77">
        <v>3</v>
      </c>
      <c r="K94" s="78">
        <f t="shared" si="16"/>
        <v>7</v>
      </c>
      <c r="L94" s="79">
        <v>0</v>
      </c>
      <c r="M94" s="218">
        <f t="shared" si="17"/>
        <v>7</v>
      </c>
      <c r="N94" s="26">
        <f>'ไฟล์ต้น (2)'!$Q$98</f>
        <v>2.963888888888889</v>
      </c>
      <c r="O94" s="26">
        <f>'ไฟล์ต้น (2)'!$Y$98</f>
        <v>9.3571428571428577</v>
      </c>
      <c r="P94" s="24" t="s">
        <v>38</v>
      </c>
      <c r="Q94" s="24" t="s">
        <v>38</v>
      </c>
      <c r="R94" s="24" t="s">
        <v>38</v>
      </c>
      <c r="S94" s="24" t="s">
        <v>38</v>
      </c>
      <c r="T94" s="24" t="s">
        <v>38</v>
      </c>
      <c r="U94" s="19" t="s">
        <v>38</v>
      </c>
      <c r="V94" s="19" t="s">
        <v>38</v>
      </c>
      <c r="W94" s="19" t="s">
        <v>38</v>
      </c>
      <c r="X94" s="19" t="s">
        <v>38</v>
      </c>
      <c r="Y94" s="19" t="s">
        <v>38</v>
      </c>
    </row>
    <row r="95" spans="1:26" ht="21.75" customHeight="1" x14ac:dyDescent="0.2">
      <c r="A95" s="127" t="s">
        <v>221</v>
      </c>
      <c r="B95" s="185" t="s">
        <v>34</v>
      </c>
      <c r="C95" s="158" t="s">
        <v>38</v>
      </c>
      <c r="D95" s="75" t="s">
        <v>38</v>
      </c>
      <c r="E95" s="75" t="s">
        <v>38</v>
      </c>
      <c r="F95" s="75">
        <v>0</v>
      </c>
      <c r="G95" s="76" t="s">
        <v>38</v>
      </c>
      <c r="H95" s="76" t="s">
        <v>38</v>
      </c>
      <c r="I95" s="76" t="s">
        <v>38</v>
      </c>
      <c r="J95" s="77">
        <v>5</v>
      </c>
      <c r="K95" s="78">
        <f t="shared" si="16"/>
        <v>5</v>
      </c>
      <c r="L95" s="79">
        <v>0</v>
      </c>
      <c r="M95" s="218">
        <f t="shared" si="17"/>
        <v>5</v>
      </c>
      <c r="N95" s="26">
        <f>'ไฟล์ต้น (2)'!$Q$99</f>
        <v>6.2515000000000001</v>
      </c>
      <c r="O95" s="26">
        <f>'ไฟล์ต้น (2)'!$Y$99</f>
        <v>5.9285714285714288</v>
      </c>
      <c r="P95" s="24" t="s">
        <v>38</v>
      </c>
      <c r="Q95" s="24" t="s">
        <v>38</v>
      </c>
      <c r="R95" s="24" t="s">
        <v>38</v>
      </c>
      <c r="S95" s="24" t="s">
        <v>38</v>
      </c>
      <c r="T95" s="24" t="s">
        <v>38</v>
      </c>
      <c r="U95" s="19" t="s">
        <v>38</v>
      </c>
      <c r="V95" s="19" t="s">
        <v>38</v>
      </c>
      <c r="W95" s="19" t="s">
        <v>38</v>
      </c>
      <c r="X95" s="19" t="s">
        <v>38</v>
      </c>
      <c r="Y95" s="19" t="s">
        <v>38</v>
      </c>
    </row>
    <row r="96" spans="1:26" s="22" customFormat="1" ht="21.95" customHeight="1" x14ac:dyDescent="0.2">
      <c r="A96" s="127" t="s">
        <v>222</v>
      </c>
      <c r="B96" s="185" t="s">
        <v>34</v>
      </c>
      <c r="C96" s="158" t="s">
        <v>38</v>
      </c>
      <c r="D96" s="75" t="s">
        <v>38</v>
      </c>
      <c r="E96" s="75" t="s">
        <v>38</v>
      </c>
      <c r="F96" s="75" t="s">
        <v>38</v>
      </c>
      <c r="G96" s="76" t="s">
        <v>38</v>
      </c>
      <c r="H96" s="76" t="s">
        <v>38</v>
      </c>
      <c r="I96" s="76">
        <v>1</v>
      </c>
      <c r="J96" s="77">
        <v>4</v>
      </c>
      <c r="K96" s="78">
        <f>SUM(C96:J96)</f>
        <v>5</v>
      </c>
      <c r="L96" s="79">
        <v>0</v>
      </c>
      <c r="M96" s="218">
        <f>K96-L96</f>
        <v>5</v>
      </c>
      <c r="N96" s="26">
        <f>'ไฟล์ต้น (2)'!$Q$100</f>
        <v>1.1930000000000001</v>
      </c>
      <c r="O96" s="26">
        <f>'ไฟล์ต้น (2)'!$Y$100</f>
        <v>2.6071428571428572</v>
      </c>
      <c r="P96" s="24" t="s">
        <v>38</v>
      </c>
      <c r="Q96" s="24" t="s">
        <v>38</v>
      </c>
      <c r="R96" s="24" t="s">
        <v>38</v>
      </c>
      <c r="S96" s="24" t="s">
        <v>38</v>
      </c>
      <c r="T96" s="24" t="s">
        <v>38</v>
      </c>
      <c r="U96" s="19" t="s">
        <v>38</v>
      </c>
      <c r="V96" s="19" t="s">
        <v>38</v>
      </c>
      <c r="W96" s="19" t="s">
        <v>38</v>
      </c>
      <c r="X96" s="19" t="s">
        <v>38</v>
      </c>
      <c r="Y96" s="19" t="s">
        <v>38</v>
      </c>
      <c r="Z96" s="2"/>
    </row>
    <row r="97" spans="1:26" s="7" customFormat="1" ht="21.75" customHeight="1" x14ac:dyDescent="0.2">
      <c r="A97" s="127" t="s">
        <v>223</v>
      </c>
      <c r="B97" s="185" t="s">
        <v>37</v>
      </c>
      <c r="C97" s="158">
        <v>0</v>
      </c>
      <c r="D97" s="75">
        <v>0</v>
      </c>
      <c r="E97" s="75">
        <v>2</v>
      </c>
      <c r="F97" s="75">
        <v>0</v>
      </c>
      <c r="G97" s="76">
        <v>0</v>
      </c>
      <c r="H97" s="76">
        <v>0</v>
      </c>
      <c r="I97" s="76">
        <v>4</v>
      </c>
      <c r="J97" s="77">
        <v>3</v>
      </c>
      <c r="K97" s="78">
        <f>SUM(C97:J97)</f>
        <v>9</v>
      </c>
      <c r="L97" s="79">
        <v>0</v>
      </c>
      <c r="M97" s="218">
        <f>K97-L97</f>
        <v>9</v>
      </c>
      <c r="N97" s="26">
        <f>'ไฟล์ต้น (2)'!$Q$97</f>
        <v>1.544444444444445</v>
      </c>
      <c r="O97" s="26">
        <f>'ไฟล์ต้น (2)'!$Y$93</f>
        <v>6.5714285714285712</v>
      </c>
      <c r="P97" s="24" t="s">
        <v>38</v>
      </c>
      <c r="Q97" s="24" t="s">
        <v>38</v>
      </c>
      <c r="R97" s="24" t="s">
        <v>38</v>
      </c>
      <c r="S97" s="24" t="s">
        <v>38</v>
      </c>
      <c r="T97" s="24" t="s">
        <v>38</v>
      </c>
      <c r="U97" s="19" t="s">
        <v>38</v>
      </c>
      <c r="V97" s="19" t="s">
        <v>38</v>
      </c>
      <c r="W97" s="19" t="s">
        <v>38</v>
      </c>
      <c r="X97" s="19" t="s">
        <v>38</v>
      </c>
      <c r="Y97" s="19" t="s">
        <v>38</v>
      </c>
      <c r="Z97" s="22"/>
    </row>
    <row r="98" spans="1:26" s="7" customFormat="1" ht="21.75" customHeight="1" x14ac:dyDescent="0.2">
      <c r="A98" s="127" t="s">
        <v>224</v>
      </c>
      <c r="B98" s="185" t="s">
        <v>265</v>
      </c>
      <c r="C98" s="158" t="s">
        <v>38</v>
      </c>
      <c r="D98" s="75" t="s">
        <v>38</v>
      </c>
      <c r="E98" s="75" t="s">
        <v>38</v>
      </c>
      <c r="F98" s="75">
        <v>2</v>
      </c>
      <c r="G98" s="76" t="s">
        <v>38</v>
      </c>
      <c r="H98" s="76" t="s">
        <v>38</v>
      </c>
      <c r="I98" s="76">
        <v>1</v>
      </c>
      <c r="J98" s="77">
        <v>2</v>
      </c>
      <c r="K98" s="78">
        <f t="shared" si="16"/>
        <v>5</v>
      </c>
      <c r="L98" s="79">
        <v>0</v>
      </c>
      <c r="M98" s="218">
        <f t="shared" si="17"/>
        <v>5</v>
      </c>
      <c r="N98" s="48">
        <v>0</v>
      </c>
      <c r="O98" s="48">
        <v>0</v>
      </c>
      <c r="P98" s="24" t="s">
        <v>38</v>
      </c>
      <c r="Q98" s="24" t="s">
        <v>38</v>
      </c>
      <c r="R98" s="24" t="s">
        <v>38</v>
      </c>
      <c r="S98" s="24" t="s">
        <v>38</v>
      </c>
      <c r="T98" s="24" t="s">
        <v>38</v>
      </c>
      <c r="U98" s="19" t="s">
        <v>38</v>
      </c>
      <c r="V98" s="19" t="s">
        <v>38</v>
      </c>
      <c r="W98" s="19" t="s">
        <v>38</v>
      </c>
      <c r="X98" s="19" t="s">
        <v>38</v>
      </c>
      <c r="Y98" s="19" t="s">
        <v>38</v>
      </c>
    </row>
    <row r="99" spans="1:26" s="288" customFormat="1" ht="21.75" customHeight="1" x14ac:dyDescent="0.2">
      <c r="A99" s="64" t="s">
        <v>105</v>
      </c>
      <c r="B99" s="289"/>
      <c r="C99" s="286">
        <f>SUM(C101:C104)</f>
        <v>0</v>
      </c>
      <c r="D99" s="286">
        <f>SUM(D100:D104)</f>
        <v>2</v>
      </c>
      <c r="E99" s="286">
        <f t="shared" ref="E99:J99" si="18">SUM(E100:E104)</f>
        <v>1</v>
      </c>
      <c r="F99" s="286">
        <f t="shared" si="18"/>
        <v>0</v>
      </c>
      <c r="G99" s="286">
        <f t="shared" si="18"/>
        <v>0</v>
      </c>
      <c r="H99" s="286">
        <f t="shared" si="18"/>
        <v>0</v>
      </c>
      <c r="I99" s="286">
        <f t="shared" si="18"/>
        <v>4</v>
      </c>
      <c r="J99" s="286">
        <f t="shared" si="18"/>
        <v>16</v>
      </c>
      <c r="K99" s="286">
        <f>SUM(K100:K104)</f>
        <v>23</v>
      </c>
      <c r="L99" s="153">
        <f>SUM(L100:L104)</f>
        <v>3</v>
      </c>
      <c r="M99" s="153">
        <f>SUM(M100:M104)</f>
        <v>20</v>
      </c>
      <c r="N99" s="287">
        <f t="shared" ref="N99:Y99" si="19">SUM(N100:N104)</f>
        <v>11.259916666666667</v>
      </c>
      <c r="O99" s="287">
        <f t="shared" si="19"/>
        <v>12.785714285714286</v>
      </c>
      <c r="P99" s="286">
        <f t="shared" si="19"/>
        <v>0</v>
      </c>
      <c r="Q99" s="286">
        <f t="shared" si="19"/>
        <v>1</v>
      </c>
      <c r="R99" s="286">
        <f t="shared" si="19"/>
        <v>0</v>
      </c>
      <c r="S99" s="286">
        <f t="shared" si="19"/>
        <v>0</v>
      </c>
      <c r="T99" s="286">
        <f t="shared" si="19"/>
        <v>0</v>
      </c>
      <c r="U99" s="286">
        <f t="shared" si="19"/>
        <v>0</v>
      </c>
      <c r="V99" s="286">
        <f t="shared" si="19"/>
        <v>0</v>
      </c>
      <c r="W99" s="286">
        <f t="shared" si="19"/>
        <v>0</v>
      </c>
      <c r="X99" s="286">
        <f t="shared" si="19"/>
        <v>0</v>
      </c>
      <c r="Y99" s="286">
        <f t="shared" si="19"/>
        <v>0</v>
      </c>
    </row>
    <row r="100" spans="1:26" s="7" customFormat="1" ht="24" x14ac:dyDescent="0.2">
      <c r="A100" s="347" t="s">
        <v>106</v>
      </c>
      <c r="B100" s="74" t="s">
        <v>15</v>
      </c>
      <c r="C100" s="96" t="s">
        <v>38</v>
      </c>
      <c r="D100" s="96">
        <v>1</v>
      </c>
      <c r="E100" s="96" t="s">
        <v>38</v>
      </c>
      <c r="F100" s="96" t="s">
        <v>38</v>
      </c>
      <c r="G100" s="97" t="s">
        <v>38</v>
      </c>
      <c r="H100" s="97" t="s">
        <v>38</v>
      </c>
      <c r="I100" s="97">
        <v>1</v>
      </c>
      <c r="J100" s="97">
        <v>1</v>
      </c>
      <c r="K100" s="108">
        <f>SUM(C100:J100)</f>
        <v>3</v>
      </c>
      <c r="L100" s="144">
        <v>0</v>
      </c>
      <c r="M100" s="237">
        <f t="shared" ref="M100:M106" si="20">K100-L100</f>
        <v>3</v>
      </c>
      <c r="N100" s="33">
        <f>'ไฟล์ต้น (2)'!S102</f>
        <v>3.4791666666666679E-2</v>
      </c>
      <c r="O100" s="33">
        <f>'ไฟล์ต้น (2)'!Y102</f>
        <v>0.6785714285714286</v>
      </c>
      <c r="P100" s="247" t="s">
        <v>38</v>
      </c>
      <c r="Q100" s="24" t="s">
        <v>38</v>
      </c>
      <c r="R100" s="247" t="s">
        <v>38</v>
      </c>
      <c r="S100" s="247" t="s">
        <v>38</v>
      </c>
      <c r="T100" s="247" t="s">
        <v>38</v>
      </c>
      <c r="U100" s="248" t="s">
        <v>38</v>
      </c>
      <c r="V100" s="248" t="s">
        <v>38</v>
      </c>
      <c r="W100" s="248" t="s">
        <v>38</v>
      </c>
      <c r="X100" s="248" t="s">
        <v>38</v>
      </c>
      <c r="Y100" s="248" t="s">
        <v>38</v>
      </c>
    </row>
    <row r="101" spans="1:26" s="7" customFormat="1" ht="21.95" customHeight="1" x14ac:dyDescent="0.2">
      <c r="A101" s="347"/>
      <c r="B101" s="102" t="s">
        <v>16</v>
      </c>
      <c r="C101" s="158" t="s">
        <v>38</v>
      </c>
      <c r="D101" s="158">
        <v>1</v>
      </c>
      <c r="E101" s="158">
        <v>0</v>
      </c>
      <c r="F101" s="158" t="s">
        <v>38</v>
      </c>
      <c r="G101" s="76" t="s">
        <v>38</v>
      </c>
      <c r="H101" s="76" t="s">
        <v>38</v>
      </c>
      <c r="I101" s="76" t="s">
        <v>38</v>
      </c>
      <c r="J101" s="76">
        <v>2</v>
      </c>
      <c r="K101" s="194">
        <f>SUM(C101:J101)</f>
        <v>3</v>
      </c>
      <c r="L101" s="144">
        <v>0</v>
      </c>
      <c r="M101" s="237">
        <f t="shared" si="20"/>
        <v>3</v>
      </c>
      <c r="N101" s="33">
        <f>'ไฟล์ต้น (2)'!S103</f>
        <v>3.8333333333333497E-2</v>
      </c>
      <c r="O101" s="33">
        <f>'ไฟล์ต้น (2)'!Y103</f>
        <v>1.3571428571428572</v>
      </c>
      <c r="P101" s="247" t="s">
        <v>38</v>
      </c>
      <c r="Q101" s="247" t="s">
        <v>38</v>
      </c>
      <c r="R101" s="247" t="s">
        <v>38</v>
      </c>
      <c r="S101" s="247" t="s">
        <v>38</v>
      </c>
      <c r="T101" s="247" t="s">
        <v>38</v>
      </c>
      <c r="U101" s="248" t="s">
        <v>38</v>
      </c>
      <c r="V101" s="248" t="s">
        <v>38</v>
      </c>
      <c r="W101" s="248" t="s">
        <v>38</v>
      </c>
      <c r="X101" s="248" t="s">
        <v>38</v>
      </c>
      <c r="Y101" s="248" t="s">
        <v>38</v>
      </c>
    </row>
    <row r="102" spans="1:26" s="23" customFormat="1" ht="21.75" customHeight="1" x14ac:dyDescent="0.2">
      <c r="A102" s="347"/>
      <c r="B102" s="102" t="s">
        <v>17</v>
      </c>
      <c r="C102" s="158" t="s">
        <v>38</v>
      </c>
      <c r="D102" s="158" t="s">
        <v>38</v>
      </c>
      <c r="E102" s="158">
        <v>1</v>
      </c>
      <c r="F102" s="158" t="s">
        <v>38</v>
      </c>
      <c r="G102" s="76" t="s">
        <v>38</v>
      </c>
      <c r="H102" s="76" t="s">
        <v>38</v>
      </c>
      <c r="I102" s="76">
        <v>2</v>
      </c>
      <c r="J102" s="76">
        <v>2</v>
      </c>
      <c r="K102" s="194">
        <f>SUM(D102:J102)</f>
        <v>5</v>
      </c>
      <c r="L102" s="144">
        <v>1</v>
      </c>
      <c r="M102" s="237">
        <f t="shared" si="20"/>
        <v>4</v>
      </c>
      <c r="N102" s="33">
        <f>'ไฟล์ต้น (2)'!S104</f>
        <v>0.76700000000000002</v>
      </c>
      <c r="O102" s="33">
        <f>'ไฟล์ต้น (2)'!Y104</f>
        <v>5.5</v>
      </c>
      <c r="P102" s="247" t="s">
        <v>38</v>
      </c>
      <c r="Q102" s="249">
        <v>1</v>
      </c>
      <c r="R102" s="247" t="s">
        <v>38</v>
      </c>
      <c r="S102" s="247" t="s">
        <v>38</v>
      </c>
      <c r="T102" s="247" t="s">
        <v>38</v>
      </c>
      <c r="U102" s="248" t="s">
        <v>38</v>
      </c>
      <c r="V102" s="248" t="s">
        <v>38</v>
      </c>
      <c r="W102" s="248" t="s">
        <v>38</v>
      </c>
      <c r="X102" s="248" t="s">
        <v>38</v>
      </c>
      <c r="Y102" s="248" t="s">
        <v>38</v>
      </c>
      <c r="Z102" s="7"/>
    </row>
    <row r="103" spans="1:26" ht="21.75" customHeight="1" x14ac:dyDescent="0.2">
      <c r="A103" s="198" t="s">
        <v>107</v>
      </c>
      <c r="B103" s="102" t="s">
        <v>27</v>
      </c>
      <c r="C103" s="199" t="s">
        <v>38</v>
      </c>
      <c r="D103" s="199" t="s">
        <v>38</v>
      </c>
      <c r="E103" s="199" t="s">
        <v>38</v>
      </c>
      <c r="F103" s="199" t="s">
        <v>38</v>
      </c>
      <c r="G103" s="97" t="s">
        <v>38</v>
      </c>
      <c r="H103" s="97" t="s">
        <v>38</v>
      </c>
      <c r="I103" s="97">
        <v>0</v>
      </c>
      <c r="J103" s="97">
        <v>6</v>
      </c>
      <c r="K103" s="126">
        <f>SUM(D103:J103)</f>
        <v>6</v>
      </c>
      <c r="L103" s="79">
        <v>2</v>
      </c>
      <c r="M103" s="218">
        <f t="shared" si="20"/>
        <v>4</v>
      </c>
      <c r="N103" s="26">
        <f>'ไฟล์ต้น (2)'!S105</f>
        <v>9.3202083333333334</v>
      </c>
      <c r="O103" s="26">
        <f>'ไฟล์ต้น (2)'!Y105</f>
        <v>4.4285714285714288</v>
      </c>
      <c r="P103" s="24" t="s">
        <v>38</v>
      </c>
      <c r="Q103" s="24" t="s">
        <v>38</v>
      </c>
      <c r="R103" s="24" t="s">
        <v>38</v>
      </c>
      <c r="S103" s="24" t="s">
        <v>38</v>
      </c>
      <c r="T103" s="24" t="s">
        <v>38</v>
      </c>
      <c r="U103" s="19" t="s">
        <v>38</v>
      </c>
      <c r="V103" s="19" t="s">
        <v>38</v>
      </c>
      <c r="W103" s="19" t="s">
        <v>38</v>
      </c>
      <c r="X103" s="19" t="s">
        <v>38</v>
      </c>
      <c r="Y103" s="19" t="s">
        <v>38</v>
      </c>
      <c r="Z103" s="23"/>
    </row>
    <row r="104" spans="1:26" ht="21.75" customHeight="1" x14ac:dyDescent="0.2">
      <c r="A104" s="198" t="s">
        <v>108</v>
      </c>
      <c r="B104" s="102" t="s">
        <v>27</v>
      </c>
      <c r="C104" s="199" t="s">
        <v>38</v>
      </c>
      <c r="D104" s="199" t="s">
        <v>38</v>
      </c>
      <c r="E104" s="199" t="s">
        <v>38</v>
      </c>
      <c r="F104" s="199" t="s">
        <v>38</v>
      </c>
      <c r="G104" s="97" t="s">
        <v>38</v>
      </c>
      <c r="H104" s="97">
        <v>0</v>
      </c>
      <c r="I104" s="97">
        <v>1</v>
      </c>
      <c r="J104" s="97">
        <v>5</v>
      </c>
      <c r="K104" s="126">
        <f>SUM(D104:J104)</f>
        <v>6</v>
      </c>
      <c r="L104" s="79">
        <v>0</v>
      </c>
      <c r="M104" s="218">
        <f t="shared" si="20"/>
        <v>6</v>
      </c>
      <c r="N104" s="26">
        <f>'ไฟล์ต้น (2)'!S106</f>
        <v>1.0995833333333331</v>
      </c>
      <c r="O104" s="26">
        <f>'ไฟล์ต้น (2)'!Y106</f>
        <v>0.8214285714285714</v>
      </c>
      <c r="P104" s="24" t="s">
        <v>38</v>
      </c>
      <c r="Q104" s="24" t="s">
        <v>38</v>
      </c>
      <c r="R104" s="24" t="s">
        <v>38</v>
      </c>
      <c r="S104" s="24" t="s">
        <v>38</v>
      </c>
      <c r="T104" s="24" t="s">
        <v>38</v>
      </c>
      <c r="U104" s="19" t="s">
        <v>38</v>
      </c>
      <c r="V104" s="19" t="s">
        <v>38</v>
      </c>
      <c r="W104" s="19" t="s">
        <v>38</v>
      </c>
      <c r="X104" s="19" t="s">
        <v>38</v>
      </c>
      <c r="Y104" s="19" t="s">
        <v>38</v>
      </c>
    </row>
    <row r="105" spans="1:26" s="293" customFormat="1" ht="21.75" customHeight="1" x14ac:dyDescent="0.2">
      <c r="A105" s="201" t="s">
        <v>109</v>
      </c>
      <c r="B105" s="201"/>
      <c r="C105" s="290">
        <f t="shared" ref="C105:M105" si="21">SUM(C106:C106)</f>
        <v>0</v>
      </c>
      <c r="D105" s="290">
        <f t="shared" si="21"/>
        <v>0</v>
      </c>
      <c r="E105" s="290">
        <f t="shared" si="21"/>
        <v>0</v>
      </c>
      <c r="F105" s="290">
        <f t="shared" si="21"/>
        <v>0</v>
      </c>
      <c r="G105" s="290">
        <f t="shared" si="21"/>
        <v>0</v>
      </c>
      <c r="H105" s="290">
        <f t="shared" si="21"/>
        <v>0</v>
      </c>
      <c r="I105" s="290">
        <f t="shared" si="21"/>
        <v>1</v>
      </c>
      <c r="J105" s="290">
        <f t="shared" si="21"/>
        <v>5</v>
      </c>
      <c r="K105" s="290">
        <f t="shared" si="21"/>
        <v>6</v>
      </c>
      <c r="L105" s="290">
        <f t="shared" si="21"/>
        <v>0</v>
      </c>
      <c r="M105" s="290">
        <f t="shared" si="21"/>
        <v>6</v>
      </c>
      <c r="N105" s="292">
        <f t="shared" ref="N105:Y105" si="22">SUM(N106:N106)</f>
        <v>9</v>
      </c>
      <c r="O105" s="290">
        <f t="shared" si="22"/>
        <v>0</v>
      </c>
      <c r="P105" s="290">
        <f t="shared" si="22"/>
        <v>0</v>
      </c>
      <c r="Q105" s="290">
        <f t="shared" si="22"/>
        <v>0</v>
      </c>
      <c r="R105" s="290">
        <f t="shared" si="22"/>
        <v>0</v>
      </c>
      <c r="S105" s="290">
        <f t="shared" si="22"/>
        <v>0</v>
      </c>
      <c r="T105" s="290">
        <f t="shared" si="22"/>
        <v>0</v>
      </c>
      <c r="U105" s="290">
        <f t="shared" si="22"/>
        <v>0</v>
      </c>
      <c r="V105" s="290">
        <f t="shared" si="22"/>
        <v>4</v>
      </c>
      <c r="W105" s="290">
        <f t="shared" si="22"/>
        <v>9</v>
      </c>
      <c r="X105" s="290">
        <f t="shared" si="22"/>
        <v>9</v>
      </c>
      <c r="Y105" s="290">
        <f t="shared" si="22"/>
        <v>9</v>
      </c>
    </row>
    <row r="106" spans="1:26" ht="21.75" customHeight="1" x14ac:dyDescent="0.2">
      <c r="A106" s="127" t="s">
        <v>215</v>
      </c>
      <c r="B106" s="185" t="s">
        <v>141</v>
      </c>
      <c r="C106" s="75" t="s">
        <v>38</v>
      </c>
      <c r="D106" s="75" t="s">
        <v>38</v>
      </c>
      <c r="E106" s="75" t="s">
        <v>38</v>
      </c>
      <c r="F106" s="75" t="s">
        <v>38</v>
      </c>
      <c r="G106" s="76" t="s">
        <v>38</v>
      </c>
      <c r="H106" s="76" t="s">
        <v>38</v>
      </c>
      <c r="I106" s="76">
        <v>1</v>
      </c>
      <c r="J106" s="77">
        <v>5</v>
      </c>
      <c r="K106" s="171">
        <v>6</v>
      </c>
      <c r="L106" s="79">
        <v>0</v>
      </c>
      <c r="M106" s="218">
        <f t="shared" si="20"/>
        <v>6</v>
      </c>
      <c r="N106" s="26">
        <f>'ไฟล์ต้น (2)'!S108</f>
        <v>9</v>
      </c>
      <c r="O106" s="48">
        <f>'ไฟล์ต้น (2)'!Y108</f>
        <v>0</v>
      </c>
      <c r="P106" s="24" t="s">
        <v>38</v>
      </c>
      <c r="Q106" s="24" t="s">
        <v>38</v>
      </c>
      <c r="R106" s="24" t="s">
        <v>38</v>
      </c>
      <c r="S106" s="24" t="s">
        <v>38</v>
      </c>
      <c r="T106" s="24" t="s">
        <v>38</v>
      </c>
      <c r="U106" s="260">
        <v>0</v>
      </c>
      <c r="V106" s="19">
        <f>'ไฟล์ต้น (2)'!AK108</f>
        <v>4</v>
      </c>
      <c r="W106" s="19">
        <f>'ไฟล์ต้น (2)'!AL108</f>
        <v>9</v>
      </c>
      <c r="X106" s="19">
        <f>'ไฟล์ต้น (2)'!AM108</f>
        <v>9</v>
      </c>
      <c r="Y106" s="19">
        <f>'ไฟล์ต้น (2)'!AN108</f>
        <v>9</v>
      </c>
    </row>
    <row r="107" spans="1:26" ht="24" x14ac:dyDescent="0.2">
      <c r="A107" s="36" t="s">
        <v>0</v>
      </c>
      <c r="B107" s="37"/>
      <c r="C107" s="38">
        <f t="shared" ref="C107:Y107" si="23">C99+C19+C45+C72+C89+C105+C5</f>
        <v>0</v>
      </c>
      <c r="D107" s="38">
        <f t="shared" si="23"/>
        <v>17</v>
      </c>
      <c r="E107" s="38">
        <f t="shared" si="23"/>
        <v>75</v>
      </c>
      <c r="F107" s="38">
        <f t="shared" si="23"/>
        <v>43</v>
      </c>
      <c r="G107" s="38">
        <f t="shared" si="23"/>
        <v>0</v>
      </c>
      <c r="H107" s="38">
        <f t="shared" si="23"/>
        <v>3</v>
      </c>
      <c r="I107" s="38">
        <f t="shared" si="23"/>
        <v>144</v>
      </c>
      <c r="J107" s="38">
        <f t="shared" si="23"/>
        <v>271</v>
      </c>
      <c r="K107" s="38">
        <f t="shared" si="23"/>
        <v>553</v>
      </c>
      <c r="L107" s="38">
        <f t="shared" si="23"/>
        <v>18</v>
      </c>
      <c r="M107" s="38">
        <f t="shared" si="23"/>
        <v>535</v>
      </c>
      <c r="N107" s="38">
        <f t="shared" si="23"/>
        <v>456.08017311111109</v>
      </c>
      <c r="O107" s="38">
        <f t="shared" si="23"/>
        <v>571.03571428571433</v>
      </c>
      <c r="P107" s="38">
        <f t="shared" si="23"/>
        <v>9</v>
      </c>
      <c r="Q107" s="38">
        <f t="shared" si="23"/>
        <v>7</v>
      </c>
      <c r="R107" s="38">
        <f t="shared" si="23"/>
        <v>11</v>
      </c>
      <c r="S107" s="38">
        <f t="shared" si="23"/>
        <v>8</v>
      </c>
      <c r="T107" s="38">
        <f t="shared" si="23"/>
        <v>7</v>
      </c>
      <c r="U107" s="38">
        <f t="shared" si="23"/>
        <v>0</v>
      </c>
      <c r="V107" s="38">
        <f t="shared" si="23"/>
        <v>6</v>
      </c>
      <c r="W107" s="38">
        <f t="shared" si="23"/>
        <v>9</v>
      </c>
      <c r="X107" s="38">
        <f t="shared" si="23"/>
        <v>9</v>
      </c>
      <c r="Y107" s="38">
        <f t="shared" si="23"/>
        <v>9</v>
      </c>
    </row>
    <row r="108" spans="1:26" ht="24" x14ac:dyDescent="0.2">
      <c r="A108" s="27" t="s">
        <v>250</v>
      </c>
    </row>
    <row r="109" spans="1:26" ht="24" x14ac:dyDescent="0.2">
      <c r="A109" s="27" t="s">
        <v>266</v>
      </c>
    </row>
  </sheetData>
  <mergeCells count="40">
    <mergeCell ref="A83:A84"/>
    <mergeCell ref="V3:V4"/>
    <mergeCell ref="A1:Y1"/>
    <mergeCell ref="A2:A4"/>
    <mergeCell ref="B2:B4"/>
    <mergeCell ref="C2:K2"/>
    <mergeCell ref="L2:L4"/>
    <mergeCell ref="M2:M4"/>
    <mergeCell ref="C3:F3"/>
    <mergeCell ref="G3:J3"/>
    <mergeCell ref="K3:K4"/>
    <mergeCell ref="P3:P4"/>
    <mergeCell ref="T3:T4"/>
    <mergeCell ref="U3:U4"/>
    <mergeCell ref="A76:A80"/>
    <mergeCell ref="A12:A13"/>
    <mergeCell ref="A14:A15"/>
    <mergeCell ref="A29:A32"/>
    <mergeCell ref="A34:A37"/>
    <mergeCell ref="A38:A40"/>
    <mergeCell ref="A10:A11"/>
    <mergeCell ref="X3:X4"/>
    <mergeCell ref="Y3:Y4"/>
    <mergeCell ref="A87:A88"/>
    <mergeCell ref="A47:A49"/>
    <mergeCell ref="U2:Y2"/>
    <mergeCell ref="Q3:Q4"/>
    <mergeCell ref="R3:R4"/>
    <mergeCell ref="S3:S4"/>
    <mergeCell ref="W3:W4"/>
    <mergeCell ref="A100:A102"/>
    <mergeCell ref="N2:N4"/>
    <mergeCell ref="O2:O4"/>
    <mergeCell ref="P2:T2"/>
    <mergeCell ref="A52:A53"/>
    <mergeCell ref="A54:A57"/>
    <mergeCell ref="A59:A62"/>
    <mergeCell ref="A64:A66"/>
    <mergeCell ref="A50:A51"/>
    <mergeCell ref="A6:A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rowBreaks count="4" manualBreakCount="4">
    <brk id="18" max="24" man="1"/>
    <brk id="44" max="24" man="1"/>
    <brk id="71" max="24" man="1"/>
    <brk id="98" max="2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Y132"/>
  <sheetViews>
    <sheetView view="pageBreakPreview" zoomScale="85" zoomScaleNormal="100" zoomScaleSheetLayoutView="85" workbookViewId="0">
      <selection activeCell="U9" sqref="U9"/>
    </sheetView>
  </sheetViews>
  <sheetFormatPr defaultColWidth="8.375" defaultRowHeight="14.25" x14ac:dyDescent="0.2"/>
  <cols>
    <col min="1" max="1" width="37.75" style="2" bestFit="1" customWidth="1"/>
    <col min="2" max="2" width="4.125" style="3" customWidth="1"/>
    <col min="3" max="3" width="3.625" style="3" bestFit="1" customWidth="1"/>
    <col min="4" max="4" width="3.875" style="3" bestFit="1" customWidth="1"/>
    <col min="5" max="5" width="3.625" style="3" bestFit="1" customWidth="1"/>
    <col min="6" max="6" width="3.125" style="3" bestFit="1" customWidth="1"/>
    <col min="7" max="7" width="3.625" style="3" bestFit="1" customWidth="1"/>
    <col min="8" max="10" width="4.75" style="3" bestFit="1" customWidth="1"/>
    <col min="11" max="11" width="9.625" style="3" customWidth="1"/>
    <col min="12" max="12" width="11.625" style="34" customWidth="1"/>
    <col min="13" max="13" width="10.375" style="3" customWidth="1"/>
    <col min="14" max="14" width="11.75" style="3" customWidth="1"/>
    <col min="15" max="24" width="4.75" style="2" bestFit="1" customWidth="1"/>
    <col min="25" max="16384" width="8.375" style="2"/>
  </cols>
  <sheetData>
    <row r="1" spans="1:24" ht="28.5" customHeight="1" x14ac:dyDescent="0.2">
      <c r="A1" s="427" t="s">
        <v>214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1:24" s="1" customFormat="1" ht="45" customHeight="1" x14ac:dyDescent="0.2">
      <c r="A2" s="418" t="s">
        <v>249</v>
      </c>
      <c r="B2" s="419" t="s">
        <v>187</v>
      </c>
      <c r="C2" s="420"/>
      <c r="D2" s="420"/>
      <c r="E2" s="420"/>
      <c r="F2" s="420"/>
      <c r="G2" s="420"/>
      <c r="H2" s="420"/>
      <c r="I2" s="420"/>
      <c r="J2" s="420"/>
      <c r="K2" s="428" t="s">
        <v>188</v>
      </c>
      <c r="L2" s="429" t="s">
        <v>189</v>
      </c>
      <c r="M2" s="403" t="s">
        <v>190</v>
      </c>
      <c r="N2" s="403" t="s">
        <v>191</v>
      </c>
      <c r="O2" s="406" t="s">
        <v>192</v>
      </c>
      <c r="P2" s="407"/>
      <c r="Q2" s="407"/>
      <c r="R2" s="407"/>
      <c r="S2" s="408"/>
      <c r="T2" s="411" t="s">
        <v>193</v>
      </c>
      <c r="U2" s="412"/>
      <c r="V2" s="412"/>
      <c r="W2" s="412"/>
      <c r="X2" s="413"/>
    </row>
    <row r="3" spans="1:24" s="1" customFormat="1" ht="20.25" customHeight="1" x14ac:dyDescent="0.2">
      <c r="A3" s="418"/>
      <c r="B3" s="425" t="s">
        <v>1</v>
      </c>
      <c r="C3" s="425"/>
      <c r="D3" s="425"/>
      <c r="E3" s="425"/>
      <c r="F3" s="425" t="s">
        <v>2</v>
      </c>
      <c r="G3" s="425"/>
      <c r="H3" s="425"/>
      <c r="I3" s="425"/>
      <c r="J3" s="426" t="s">
        <v>0</v>
      </c>
      <c r="K3" s="428"/>
      <c r="L3" s="429"/>
      <c r="M3" s="404"/>
      <c r="N3" s="404"/>
      <c r="O3" s="414">
        <v>2564</v>
      </c>
      <c r="P3" s="414">
        <v>2565</v>
      </c>
      <c r="Q3" s="414">
        <v>2566</v>
      </c>
      <c r="R3" s="414">
        <v>2567</v>
      </c>
      <c r="S3" s="414">
        <v>2568</v>
      </c>
      <c r="T3" s="409">
        <v>2564</v>
      </c>
      <c r="U3" s="409">
        <v>2565</v>
      </c>
      <c r="V3" s="409">
        <v>2566</v>
      </c>
      <c r="W3" s="409">
        <v>2567</v>
      </c>
      <c r="X3" s="409">
        <v>2568</v>
      </c>
    </row>
    <row r="4" spans="1:24" s="1" customFormat="1" ht="21.75" x14ac:dyDescent="0.2">
      <c r="A4" s="418"/>
      <c r="B4" s="25" t="s">
        <v>5</v>
      </c>
      <c r="C4" s="25" t="s">
        <v>6</v>
      </c>
      <c r="D4" s="25" t="s">
        <v>7</v>
      </c>
      <c r="E4" s="25" t="s">
        <v>8</v>
      </c>
      <c r="F4" s="25" t="s">
        <v>5</v>
      </c>
      <c r="G4" s="25" t="s">
        <v>6</v>
      </c>
      <c r="H4" s="25" t="s">
        <v>7</v>
      </c>
      <c r="I4" s="25" t="s">
        <v>8</v>
      </c>
      <c r="J4" s="426"/>
      <c r="K4" s="428"/>
      <c r="L4" s="429"/>
      <c r="M4" s="405"/>
      <c r="N4" s="405"/>
      <c r="O4" s="415"/>
      <c r="P4" s="415"/>
      <c r="Q4" s="415"/>
      <c r="R4" s="415"/>
      <c r="S4" s="415"/>
      <c r="T4" s="410"/>
      <c r="U4" s="410"/>
      <c r="V4" s="410"/>
      <c r="W4" s="410"/>
      <c r="X4" s="410"/>
    </row>
    <row r="5" spans="1:24" ht="21.75" customHeight="1" x14ac:dyDescent="0.2">
      <c r="A5" s="12" t="s">
        <v>227</v>
      </c>
      <c r="B5" s="14"/>
      <c r="C5" s="14"/>
      <c r="D5" s="14"/>
      <c r="E5" s="14"/>
      <c r="F5" s="14"/>
      <c r="G5" s="14"/>
      <c r="H5" s="14"/>
      <c r="I5" s="14"/>
      <c r="J5" s="14"/>
      <c r="K5" s="28"/>
      <c r="L5" s="29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7" customFormat="1" ht="21" customHeight="1" x14ac:dyDescent="0.2">
      <c r="A6" s="11" t="s">
        <v>228</v>
      </c>
      <c r="B6" s="44">
        <v>0</v>
      </c>
      <c r="C6" s="44">
        <v>0</v>
      </c>
      <c r="D6" s="44">
        <v>0</v>
      </c>
      <c r="E6" s="44">
        <v>0</v>
      </c>
      <c r="F6" s="45">
        <v>0</v>
      </c>
      <c r="G6" s="45">
        <v>0</v>
      </c>
      <c r="H6" s="45">
        <v>0</v>
      </c>
      <c r="I6" s="46">
        <v>14</v>
      </c>
      <c r="J6" s="43">
        <f>SUM(B6:I6)</f>
        <v>14</v>
      </c>
      <c r="K6" s="40">
        <v>0</v>
      </c>
      <c r="L6" s="42">
        <f>J6-K6</f>
        <v>14</v>
      </c>
      <c r="M6" s="43">
        <v>14</v>
      </c>
      <c r="N6" s="43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</row>
    <row r="7" spans="1:24" ht="21.75" customHeight="1" x14ac:dyDescent="0.2">
      <c r="A7" s="12" t="s">
        <v>277</v>
      </c>
      <c r="B7" s="39">
        <v>0</v>
      </c>
      <c r="C7" s="39">
        <f t="shared" ref="C7:M7" si="0">SUM(C8:C18)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38</v>
      </c>
      <c r="J7" s="39">
        <f t="shared" si="0"/>
        <v>38</v>
      </c>
      <c r="K7" s="39">
        <f t="shared" si="0"/>
        <v>0</v>
      </c>
      <c r="L7" s="39">
        <f t="shared" si="0"/>
        <v>38</v>
      </c>
      <c r="M7" s="39">
        <f t="shared" si="0"/>
        <v>38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</row>
    <row r="8" spans="1:24" s="22" customFormat="1" ht="21.95" customHeight="1" x14ac:dyDescent="0.2">
      <c r="A8" s="60" t="s">
        <v>229</v>
      </c>
      <c r="B8" s="44" t="s">
        <v>38</v>
      </c>
      <c r="C8" s="44" t="s">
        <v>38</v>
      </c>
      <c r="D8" s="44" t="s">
        <v>38</v>
      </c>
      <c r="E8" s="44" t="s">
        <v>38</v>
      </c>
      <c r="F8" s="45" t="s">
        <v>38</v>
      </c>
      <c r="G8" s="45" t="s">
        <v>38</v>
      </c>
      <c r="H8" s="45" t="s">
        <v>38</v>
      </c>
      <c r="I8" s="46">
        <v>5</v>
      </c>
      <c r="J8" s="43">
        <f>SUM(B8:I8)</f>
        <v>5</v>
      </c>
      <c r="K8" s="40">
        <v>0</v>
      </c>
      <c r="L8" s="42">
        <f t="shared" ref="L8:L17" si="1">J8-K8</f>
        <v>5</v>
      </c>
      <c r="M8" s="43">
        <v>5</v>
      </c>
      <c r="N8" s="43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</row>
    <row r="9" spans="1:24" s="7" customFormat="1" ht="21.95" customHeight="1" x14ac:dyDescent="0.2">
      <c r="A9" s="60" t="s">
        <v>230</v>
      </c>
      <c r="B9" s="44" t="s">
        <v>38</v>
      </c>
      <c r="C9" s="44" t="s">
        <v>38</v>
      </c>
      <c r="D9" s="44" t="s">
        <v>38</v>
      </c>
      <c r="E9" s="44" t="s">
        <v>38</v>
      </c>
      <c r="F9" s="45" t="s">
        <v>38</v>
      </c>
      <c r="G9" s="45" t="s">
        <v>38</v>
      </c>
      <c r="H9" s="45" t="s">
        <v>38</v>
      </c>
      <c r="I9" s="46">
        <v>5</v>
      </c>
      <c r="J9" s="43">
        <f t="shared" ref="J9:J17" si="2">SUM(B9:I9)</f>
        <v>5</v>
      </c>
      <c r="K9" s="40">
        <v>0</v>
      </c>
      <c r="L9" s="42">
        <f t="shared" si="1"/>
        <v>5</v>
      </c>
      <c r="M9" s="43">
        <v>5</v>
      </c>
      <c r="N9" s="43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</row>
    <row r="10" spans="1:24" s="17" customFormat="1" ht="21.95" customHeight="1" x14ac:dyDescent="0.2">
      <c r="A10" s="60" t="s">
        <v>231</v>
      </c>
      <c r="B10" s="44" t="s">
        <v>38</v>
      </c>
      <c r="C10" s="44" t="s">
        <v>38</v>
      </c>
      <c r="D10" s="44" t="s">
        <v>38</v>
      </c>
      <c r="E10" s="44" t="s">
        <v>38</v>
      </c>
      <c r="F10" s="45" t="s">
        <v>38</v>
      </c>
      <c r="G10" s="45" t="s">
        <v>38</v>
      </c>
      <c r="H10" s="45" t="s">
        <v>38</v>
      </c>
      <c r="I10" s="46">
        <v>3</v>
      </c>
      <c r="J10" s="43">
        <f t="shared" si="2"/>
        <v>3</v>
      </c>
      <c r="K10" s="40">
        <v>0</v>
      </c>
      <c r="L10" s="42">
        <f t="shared" si="1"/>
        <v>3</v>
      </c>
      <c r="M10" s="43">
        <v>3</v>
      </c>
      <c r="N10" s="43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4" s="7" customFormat="1" ht="21.95" customHeight="1" x14ac:dyDescent="0.2">
      <c r="A11" s="60" t="s">
        <v>232</v>
      </c>
      <c r="B11" s="44" t="s">
        <v>38</v>
      </c>
      <c r="C11" s="44" t="s">
        <v>38</v>
      </c>
      <c r="D11" s="44" t="s">
        <v>38</v>
      </c>
      <c r="E11" s="44" t="s">
        <v>38</v>
      </c>
      <c r="F11" s="45" t="s">
        <v>38</v>
      </c>
      <c r="G11" s="45" t="s">
        <v>38</v>
      </c>
      <c r="H11" s="45" t="s">
        <v>38</v>
      </c>
      <c r="I11" s="46">
        <v>3</v>
      </c>
      <c r="J11" s="43">
        <f t="shared" si="2"/>
        <v>3</v>
      </c>
      <c r="K11" s="40">
        <v>0</v>
      </c>
      <c r="L11" s="42">
        <f t="shared" si="1"/>
        <v>3</v>
      </c>
      <c r="M11" s="43">
        <v>3</v>
      </c>
      <c r="N11" s="43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</row>
    <row r="12" spans="1:24" s="17" customFormat="1" ht="21.95" customHeight="1" x14ac:dyDescent="0.2">
      <c r="A12" s="60" t="s">
        <v>233</v>
      </c>
      <c r="B12" s="44" t="s">
        <v>38</v>
      </c>
      <c r="C12" s="44" t="s">
        <v>38</v>
      </c>
      <c r="D12" s="44" t="s">
        <v>38</v>
      </c>
      <c r="E12" s="44" t="s">
        <v>38</v>
      </c>
      <c r="F12" s="45" t="s">
        <v>38</v>
      </c>
      <c r="G12" s="45" t="s">
        <v>38</v>
      </c>
      <c r="H12" s="45" t="s">
        <v>38</v>
      </c>
      <c r="I12" s="46">
        <v>4</v>
      </c>
      <c r="J12" s="43">
        <f t="shared" si="2"/>
        <v>4</v>
      </c>
      <c r="K12" s="40">
        <v>0</v>
      </c>
      <c r="L12" s="42">
        <f t="shared" si="1"/>
        <v>4</v>
      </c>
      <c r="M12" s="43">
        <v>4</v>
      </c>
      <c r="N12" s="43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</row>
    <row r="13" spans="1:24" s="10" customFormat="1" ht="21.95" customHeight="1" x14ac:dyDescent="0.2">
      <c r="A13" s="60" t="s">
        <v>234</v>
      </c>
      <c r="B13" s="44" t="s">
        <v>38</v>
      </c>
      <c r="C13" s="44" t="s">
        <v>38</v>
      </c>
      <c r="D13" s="44" t="s">
        <v>38</v>
      </c>
      <c r="E13" s="44" t="s">
        <v>38</v>
      </c>
      <c r="F13" s="45" t="s">
        <v>38</v>
      </c>
      <c r="G13" s="45" t="s">
        <v>38</v>
      </c>
      <c r="H13" s="45" t="s">
        <v>38</v>
      </c>
      <c r="I13" s="46">
        <v>4</v>
      </c>
      <c r="J13" s="43">
        <f t="shared" si="2"/>
        <v>4</v>
      </c>
      <c r="K13" s="40">
        <v>0</v>
      </c>
      <c r="L13" s="42">
        <f t="shared" si="1"/>
        <v>4</v>
      </c>
      <c r="M13" s="43">
        <v>4</v>
      </c>
      <c r="N13" s="43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</row>
    <row r="14" spans="1:24" s="17" customFormat="1" ht="21.95" customHeight="1" x14ac:dyDescent="0.2">
      <c r="A14" s="60" t="s">
        <v>235</v>
      </c>
      <c r="B14" s="44" t="s">
        <v>38</v>
      </c>
      <c r="C14" s="44" t="s">
        <v>38</v>
      </c>
      <c r="D14" s="44" t="s">
        <v>38</v>
      </c>
      <c r="E14" s="44" t="s">
        <v>38</v>
      </c>
      <c r="F14" s="45" t="s">
        <v>38</v>
      </c>
      <c r="G14" s="45" t="s">
        <v>38</v>
      </c>
      <c r="H14" s="45" t="s">
        <v>38</v>
      </c>
      <c r="I14" s="46">
        <v>2</v>
      </c>
      <c r="J14" s="43">
        <f t="shared" si="2"/>
        <v>2</v>
      </c>
      <c r="K14" s="40">
        <v>0</v>
      </c>
      <c r="L14" s="42">
        <f t="shared" si="1"/>
        <v>2</v>
      </c>
      <c r="M14" s="43">
        <v>2</v>
      </c>
      <c r="N14" s="43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</row>
    <row r="15" spans="1:24" s="7" customFormat="1" ht="21.95" customHeight="1" x14ac:dyDescent="0.2">
      <c r="A15" s="61" t="s">
        <v>236</v>
      </c>
      <c r="B15" s="44"/>
      <c r="C15" s="44" t="s">
        <v>38</v>
      </c>
      <c r="D15" s="44" t="s">
        <v>38</v>
      </c>
      <c r="E15" s="44" t="s">
        <v>38</v>
      </c>
      <c r="F15" s="45" t="s">
        <v>38</v>
      </c>
      <c r="G15" s="45" t="s">
        <v>38</v>
      </c>
      <c r="H15" s="45" t="s">
        <v>38</v>
      </c>
      <c r="I15" s="46">
        <v>2</v>
      </c>
      <c r="J15" s="43">
        <f t="shared" si="2"/>
        <v>2</v>
      </c>
      <c r="K15" s="40">
        <v>0</v>
      </c>
      <c r="L15" s="42">
        <f t="shared" si="1"/>
        <v>2</v>
      </c>
      <c r="M15" s="43">
        <v>2</v>
      </c>
      <c r="N15" s="43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4" s="17" customFormat="1" ht="21.95" customHeight="1" x14ac:dyDescent="0.2">
      <c r="A16" s="60" t="s">
        <v>237</v>
      </c>
      <c r="B16" s="44" t="s">
        <v>38</v>
      </c>
      <c r="C16" s="44" t="s">
        <v>38</v>
      </c>
      <c r="D16" s="44" t="s">
        <v>38</v>
      </c>
      <c r="E16" s="44" t="s">
        <v>38</v>
      </c>
      <c r="F16" s="45" t="s">
        <v>38</v>
      </c>
      <c r="G16" s="45" t="s">
        <v>38</v>
      </c>
      <c r="H16" s="45" t="s">
        <v>38</v>
      </c>
      <c r="I16" s="46">
        <v>2</v>
      </c>
      <c r="J16" s="43">
        <f t="shared" si="2"/>
        <v>2</v>
      </c>
      <c r="K16" s="40">
        <v>0</v>
      </c>
      <c r="L16" s="42">
        <f t="shared" si="1"/>
        <v>2</v>
      </c>
      <c r="M16" s="43">
        <v>2</v>
      </c>
      <c r="N16" s="43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</row>
    <row r="17" spans="1:24" s="7" customFormat="1" ht="21.95" customHeight="1" x14ac:dyDescent="0.2">
      <c r="A17" s="60" t="s">
        <v>238</v>
      </c>
      <c r="B17" s="44" t="s">
        <v>38</v>
      </c>
      <c r="C17" s="44" t="s">
        <v>38</v>
      </c>
      <c r="D17" s="44" t="s">
        <v>38</v>
      </c>
      <c r="E17" s="44" t="s">
        <v>38</v>
      </c>
      <c r="F17" s="45" t="s">
        <v>38</v>
      </c>
      <c r="G17" s="45" t="s">
        <v>38</v>
      </c>
      <c r="H17" s="45" t="s">
        <v>38</v>
      </c>
      <c r="I17" s="46">
        <v>4</v>
      </c>
      <c r="J17" s="43">
        <f t="shared" si="2"/>
        <v>4</v>
      </c>
      <c r="K17" s="40">
        <v>0</v>
      </c>
      <c r="L17" s="42">
        <f t="shared" si="1"/>
        <v>4</v>
      </c>
      <c r="M17" s="43">
        <v>4</v>
      </c>
      <c r="N17" s="43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</row>
    <row r="18" spans="1:24" s="17" customFormat="1" ht="21.95" customHeight="1" x14ac:dyDescent="0.2">
      <c r="A18" s="60" t="s">
        <v>239</v>
      </c>
      <c r="B18" s="44" t="s">
        <v>38</v>
      </c>
      <c r="C18" s="44" t="s">
        <v>38</v>
      </c>
      <c r="D18" s="44" t="s">
        <v>38</v>
      </c>
      <c r="E18" s="44" t="s">
        <v>38</v>
      </c>
      <c r="F18" s="45" t="s">
        <v>38</v>
      </c>
      <c r="G18" s="45" t="s">
        <v>38</v>
      </c>
      <c r="H18" s="45" t="s">
        <v>38</v>
      </c>
      <c r="I18" s="46">
        <v>4</v>
      </c>
      <c r="J18" s="43">
        <f>SUM(B18:I18)</f>
        <v>4</v>
      </c>
      <c r="K18" s="40">
        <v>0</v>
      </c>
      <c r="L18" s="42">
        <f>J18-K18</f>
        <v>4</v>
      </c>
      <c r="M18" s="43">
        <v>4</v>
      </c>
      <c r="N18" s="43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</row>
    <row r="19" spans="1:24" s="56" customFormat="1" ht="21.95" customHeight="1" x14ac:dyDescent="0.2">
      <c r="A19" s="57" t="s">
        <v>240</v>
      </c>
      <c r="B19" s="55">
        <f>SUM(B20:B25)</f>
        <v>0</v>
      </c>
      <c r="C19" s="55">
        <f t="shared" ref="C19:X19" si="3">SUM(C20:C25)</f>
        <v>0</v>
      </c>
      <c r="D19" s="55">
        <f t="shared" si="3"/>
        <v>0</v>
      </c>
      <c r="E19" s="55">
        <f t="shared" si="3"/>
        <v>0</v>
      </c>
      <c r="F19" s="55">
        <f t="shared" si="3"/>
        <v>0</v>
      </c>
      <c r="G19" s="55">
        <f t="shared" si="3"/>
        <v>0</v>
      </c>
      <c r="H19" s="55">
        <f t="shared" si="3"/>
        <v>0</v>
      </c>
      <c r="I19" s="55">
        <f t="shared" si="3"/>
        <v>0</v>
      </c>
      <c r="J19" s="55">
        <f t="shared" si="3"/>
        <v>0</v>
      </c>
      <c r="K19" s="55">
        <f t="shared" si="3"/>
        <v>0</v>
      </c>
      <c r="L19" s="55">
        <f t="shared" si="3"/>
        <v>0</v>
      </c>
      <c r="M19" s="55">
        <f t="shared" si="3"/>
        <v>0</v>
      </c>
      <c r="N19" s="55">
        <f t="shared" si="3"/>
        <v>0</v>
      </c>
      <c r="O19" s="55">
        <f t="shared" si="3"/>
        <v>0</v>
      </c>
      <c r="P19" s="55">
        <f t="shared" si="3"/>
        <v>0</v>
      </c>
      <c r="Q19" s="55">
        <f t="shared" si="3"/>
        <v>0</v>
      </c>
      <c r="R19" s="55">
        <f t="shared" si="3"/>
        <v>0</v>
      </c>
      <c r="S19" s="55">
        <f t="shared" si="3"/>
        <v>0</v>
      </c>
      <c r="T19" s="55">
        <f t="shared" si="3"/>
        <v>0</v>
      </c>
      <c r="U19" s="55">
        <f t="shared" si="3"/>
        <v>18</v>
      </c>
      <c r="V19" s="55">
        <f t="shared" si="3"/>
        <v>17</v>
      </c>
      <c r="W19" s="55">
        <f t="shared" si="3"/>
        <v>7</v>
      </c>
      <c r="X19" s="55">
        <f t="shared" si="3"/>
        <v>0</v>
      </c>
    </row>
    <row r="20" spans="1:24" s="7" customFormat="1" ht="21.95" customHeight="1" x14ac:dyDescent="0.55000000000000004">
      <c r="A20" s="59" t="s">
        <v>241</v>
      </c>
      <c r="B20" s="44">
        <v>0</v>
      </c>
      <c r="C20" s="44">
        <v>0</v>
      </c>
      <c r="D20" s="44">
        <v>0</v>
      </c>
      <c r="E20" s="44">
        <v>0</v>
      </c>
      <c r="F20" s="45">
        <v>0</v>
      </c>
      <c r="G20" s="45">
        <v>0</v>
      </c>
      <c r="H20" s="45">
        <v>0</v>
      </c>
      <c r="I20" s="46">
        <v>0</v>
      </c>
      <c r="J20" s="43">
        <v>0</v>
      </c>
      <c r="K20" s="40">
        <v>0</v>
      </c>
      <c r="L20" s="42">
        <v>0</v>
      </c>
      <c r="M20" s="48">
        <v>0</v>
      </c>
      <c r="N20" s="43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50">
        <v>2</v>
      </c>
      <c r="V20" s="50">
        <v>2</v>
      </c>
      <c r="W20" s="50">
        <v>2</v>
      </c>
      <c r="X20" s="50">
        <v>0</v>
      </c>
    </row>
    <row r="21" spans="1:24" s="7" customFormat="1" ht="21.95" customHeight="1" x14ac:dyDescent="0.55000000000000004">
      <c r="A21" s="59" t="s">
        <v>242</v>
      </c>
      <c r="B21" s="44">
        <v>0</v>
      </c>
      <c r="C21" s="44">
        <v>0</v>
      </c>
      <c r="D21" s="44">
        <v>0</v>
      </c>
      <c r="E21" s="44">
        <v>0</v>
      </c>
      <c r="F21" s="45">
        <v>0</v>
      </c>
      <c r="G21" s="45">
        <v>0</v>
      </c>
      <c r="H21" s="45">
        <v>0</v>
      </c>
      <c r="I21" s="46">
        <v>0</v>
      </c>
      <c r="J21" s="43">
        <v>0</v>
      </c>
      <c r="K21" s="40">
        <v>0</v>
      </c>
      <c r="L21" s="42">
        <v>0</v>
      </c>
      <c r="M21" s="48">
        <v>0</v>
      </c>
      <c r="N21" s="43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50">
        <v>2</v>
      </c>
      <c r="V21" s="50">
        <v>2</v>
      </c>
      <c r="W21" s="50">
        <v>1</v>
      </c>
      <c r="X21" s="50">
        <v>0</v>
      </c>
    </row>
    <row r="22" spans="1:24" s="7" customFormat="1" ht="21.95" customHeight="1" x14ac:dyDescent="0.55000000000000004">
      <c r="A22" s="59" t="s">
        <v>243</v>
      </c>
      <c r="B22" s="44">
        <v>0</v>
      </c>
      <c r="C22" s="44">
        <v>0</v>
      </c>
      <c r="D22" s="44">
        <v>0</v>
      </c>
      <c r="E22" s="44">
        <v>0</v>
      </c>
      <c r="F22" s="45">
        <v>0</v>
      </c>
      <c r="G22" s="45">
        <v>0</v>
      </c>
      <c r="H22" s="45">
        <v>0</v>
      </c>
      <c r="I22" s="46">
        <v>0</v>
      </c>
      <c r="J22" s="43">
        <v>0</v>
      </c>
      <c r="K22" s="40">
        <v>0</v>
      </c>
      <c r="L22" s="42">
        <v>0</v>
      </c>
      <c r="M22" s="48">
        <v>0</v>
      </c>
      <c r="N22" s="43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0">
        <v>0</v>
      </c>
      <c r="U22" s="50">
        <v>2</v>
      </c>
      <c r="V22" s="50">
        <v>2</v>
      </c>
      <c r="W22" s="50">
        <v>1</v>
      </c>
      <c r="X22" s="50">
        <v>0</v>
      </c>
    </row>
    <row r="23" spans="1:24" s="7" customFormat="1" ht="21.95" customHeight="1" x14ac:dyDescent="0.55000000000000004">
      <c r="A23" s="59" t="s">
        <v>244</v>
      </c>
      <c r="B23" s="44">
        <v>0</v>
      </c>
      <c r="C23" s="44">
        <v>0</v>
      </c>
      <c r="D23" s="44">
        <v>0</v>
      </c>
      <c r="E23" s="44">
        <v>0</v>
      </c>
      <c r="F23" s="45">
        <v>0</v>
      </c>
      <c r="G23" s="45">
        <v>0</v>
      </c>
      <c r="H23" s="45">
        <v>0</v>
      </c>
      <c r="I23" s="46">
        <v>0</v>
      </c>
      <c r="J23" s="43">
        <v>0</v>
      </c>
      <c r="K23" s="40">
        <v>0</v>
      </c>
      <c r="L23" s="42">
        <v>0</v>
      </c>
      <c r="M23" s="48">
        <v>0</v>
      </c>
      <c r="N23" s="43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50">
        <v>0</v>
      </c>
      <c r="U23" s="50">
        <v>3</v>
      </c>
      <c r="V23" s="50">
        <v>3</v>
      </c>
      <c r="W23" s="50">
        <v>1</v>
      </c>
      <c r="X23" s="50">
        <v>0</v>
      </c>
    </row>
    <row r="24" spans="1:24" s="7" customFormat="1" ht="21.95" customHeight="1" x14ac:dyDescent="0.55000000000000004">
      <c r="A24" s="59" t="s">
        <v>245</v>
      </c>
      <c r="B24" s="44">
        <v>0</v>
      </c>
      <c r="C24" s="44">
        <v>0</v>
      </c>
      <c r="D24" s="44">
        <v>0</v>
      </c>
      <c r="E24" s="44">
        <v>0</v>
      </c>
      <c r="F24" s="45">
        <v>0</v>
      </c>
      <c r="G24" s="45">
        <v>0</v>
      </c>
      <c r="H24" s="45">
        <v>0</v>
      </c>
      <c r="I24" s="46">
        <v>0</v>
      </c>
      <c r="J24" s="43">
        <v>0</v>
      </c>
      <c r="K24" s="40">
        <v>0</v>
      </c>
      <c r="L24" s="42">
        <v>0</v>
      </c>
      <c r="M24" s="48">
        <v>0</v>
      </c>
      <c r="N24" s="43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0">
        <v>0</v>
      </c>
      <c r="U24" s="50">
        <v>2</v>
      </c>
      <c r="V24" s="50">
        <v>2</v>
      </c>
      <c r="W24" s="50">
        <v>1</v>
      </c>
      <c r="X24" s="50">
        <v>0</v>
      </c>
    </row>
    <row r="25" spans="1:24" s="7" customFormat="1" ht="21.95" customHeight="1" x14ac:dyDescent="0.55000000000000004">
      <c r="A25" s="59" t="s">
        <v>246</v>
      </c>
      <c r="B25" s="44">
        <v>0</v>
      </c>
      <c r="C25" s="44">
        <v>0</v>
      </c>
      <c r="D25" s="44">
        <v>0</v>
      </c>
      <c r="E25" s="44">
        <v>0</v>
      </c>
      <c r="F25" s="45">
        <v>0</v>
      </c>
      <c r="G25" s="45">
        <v>0</v>
      </c>
      <c r="H25" s="45">
        <v>0</v>
      </c>
      <c r="I25" s="46">
        <v>0</v>
      </c>
      <c r="J25" s="43">
        <v>0</v>
      </c>
      <c r="K25" s="40">
        <v>0</v>
      </c>
      <c r="L25" s="42">
        <v>0</v>
      </c>
      <c r="M25" s="48">
        <v>0</v>
      </c>
      <c r="N25" s="43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50">
        <v>0</v>
      </c>
      <c r="U25" s="50">
        <v>7</v>
      </c>
      <c r="V25" s="50">
        <v>6</v>
      </c>
      <c r="W25" s="50">
        <v>1</v>
      </c>
      <c r="X25" s="50">
        <v>0</v>
      </c>
    </row>
    <row r="26" spans="1:24" s="17" customFormat="1" ht="21.95" customHeight="1" x14ac:dyDescent="0.2">
      <c r="A26" s="239" t="s">
        <v>0</v>
      </c>
      <c r="B26" s="240">
        <f t="shared" ref="B26:X26" si="4">B6+B7+B19</f>
        <v>0</v>
      </c>
      <c r="C26" s="240">
        <f t="shared" si="4"/>
        <v>0</v>
      </c>
      <c r="D26" s="240">
        <f t="shared" si="4"/>
        <v>0</v>
      </c>
      <c r="E26" s="240">
        <f t="shared" si="4"/>
        <v>0</v>
      </c>
      <c r="F26" s="240">
        <f t="shared" si="4"/>
        <v>0</v>
      </c>
      <c r="G26" s="240">
        <f t="shared" si="4"/>
        <v>0</v>
      </c>
      <c r="H26" s="240">
        <f t="shared" si="4"/>
        <v>0</v>
      </c>
      <c r="I26" s="240">
        <f t="shared" si="4"/>
        <v>52</v>
      </c>
      <c r="J26" s="240">
        <f t="shared" si="4"/>
        <v>52</v>
      </c>
      <c r="K26" s="240">
        <f t="shared" si="4"/>
        <v>0</v>
      </c>
      <c r="L26" s="240">
        <f t="shared" si="4"/>
        <v>52</v>
      </c>
      <c r="M26" s="240">
        <f t="shared" si="4"/>
        <v>52</v>
      </c>
      <c r="N26" s="240">
        <f t="shared" si="4"/>
        <v>0</v>
      </c>
      <c r="O26" s="240">
        <f t="shared" si="4"/>
        <v>0</v>
      </c>
      <c r="P26" s="240">
        <f t="shared" si="4"/>
        <v>0</v>
      </c>
      <c r="Q26" s="240">
        <f t="shared" si="4"/>
        <v>0</v>
      </c>
      <c r="R26" s="240">
        <f t="shared" si="4"/>
        <v>0</v>
      </c>
      <c r="S26" s="240">
        <f t="shared" si="4"/>
        <v>0</v>
      </c>
      <c r="T26" s="240">
        <f t="shared" si="4"/>
        <v>0</v>
      </c>
      <c r="U26" s="240">
        <f t="shared" si="4"/>
        <v>18</v>
      </c>
      <c r="V26" s="240">
        <f t="shared" si="4"/>
        <v>17</v>
      </c>
      <c r="W26" s="240">
        <f t="shared" si="4"/>
        <v>7</v>
      </c>
      <c r="X26" s="240">
        <f t="shared" si="4"/>
        <v>0</v>
      </c>
    </row>
    <row r="27" spans="1:24" s="7" customFormat="1" ht="21.95" customHeight="1" x14ac:dyDescent="0.2">
      <c r="A27" s="27"/>
      <c r="B27" s="35"/>
      <c r="C27" s="3"/>
      <c r="D27" s="3"/>
      <c r="E27" s="3"/>
      <c r="F27" s="3"/>
      <c r="G27" s="3"/>
      <c r="H27" s="3"/>
      <c r="I27" s="3"/>
      <c r="J27" s="3"/>
      <c r="K27" s="3"/>
      <c r="L27" s="34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22" customFormat="1" ht="21.95" customHeight="1" x14ac:dyDescent="0.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4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7" customFormat="1" ht="21.9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4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7" customFormat="1" ht="21.9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4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7" customFormat="1" ht="21.95" customHeight="1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4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7" customFormat="1" ht="21.95" customHeight="1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4"/>
      <c r="M32" s="3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7" customFormat="1" ht="21.9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4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7" customFormat="1" ht="21.95" customHeight="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4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7" customFormat="1" ht="21.95" customHeight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4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7" customFormat="1" ht="21.9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4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7" customFormat="1" ht="21.95" customHeight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4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7" customFormat="1" ht="21.9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4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7" customFormat="1" ht="21.9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4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7" customFormat="1" ht="21.95" customHeigh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4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7" customFormat="1" ht="21.9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4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6" customFormat="1" ht="21.95" customHeight="1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4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8" customFormat="1" ht="21.95" customHeight="1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4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1.95" customHeight="1" x14ac:dyDescent="0.2"/>
    <row r="45" spans="1:24" ht="21.75" customHeight="1" x14ac:dyDescent="0.2"/>
    <row r="46" spans="1:24" ht="21.75" customHeight="1" x14ac:dyDescent="0.2"/>
    <row r="47" spans="1:24" ht="21.75" customHeight="1" x14ac:dyDescent="0.2"/>
    <row r="48" spans="1:24" ht="21.75" customHeight="1" x14ac:dyDescent="0.2"/>
    <row r="49" spans="1:24" ht="21.75" customHeight="1" x14ac:dyDescent="0.2"/>
    <row r="50" spans="1:24" ht="21.75" customHeight="1" x14ac:dyDescent="0.2"/>
    <row r="51" spans="1:24" ht="21.75" customHeight="1" x14ac:dyDescent="0.2"/>
    <row r="52" spans="1:24" ht="21.75" customHeight="1" x14ac:dyDescent="0.2"/>
    <row r="53" spans="1:24" ht="21.75" customHeight="1" x14ac:dyDescent="0.2"/>
    <row r="54" spans="1:24" s="23" customFormat="1" ht="21.75" customHeight="1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4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1.75" customHeight="1" x14ac:dyDescent="0.2"/>
    <row r="56" spans="1:24" ht="21.75" customHeight="1" x14ac:dyDescent="0.2"/>
    <row r="57" spans="1:24" ht="21.75" customHeight="1" x14ac:dyDescent="0.2"/>
    <row r="58" spans="1:24" ht="21.75" customHeight="1" x14ac:dyDescent="0.2"/>
    <row r="59" spans="1:24" ht="21.75" customHeight="1" x14ac:dyDescent="0.2"/>
    <row r="60" spans="1:24" ht="21.75" customHeight="1" x14ac:dyDescent="0.2"/>
    <row r="61" spans="1:24" ht="21.75" customHeight="1" x14ac:dyDescent="0.2"/>
    <row r="62" spans="1:24" ht="21.75" customHeight="1" x14ac:dyDescent="0.2"/>
    <row r="63" spans="1:24" ht="21.75" customHeight="1" x14ac:dyDescent="0.2"/>
    <row r="64" spans="1:2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spans="1:24" s="23" customFormat="1" ht="21.75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4"/>
      <c r="M81" s="3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1.75" customHeight="1" x14ac:dyDescent="0.2"/>
    <row r="83" spans="1:24" ht="21.75" customHeight="1" x14ac:dyDescent="0.2"/>
    <row r="84" spans="1:24" ht="21.75" customHeight="1" x14ac:dyDescent="0.2"/>
    <row r="85" spans="1:24" ht="21.75" customHeight="1" x14ac:dyDescent="0.2"/>
    <row r="86" spans="1:24" ht="21.75" customHeight="1" x14ac:dyDescent="0.2"/>
    <row r="87" spans="1:24" ht="21.75" customHeight="1" x14ac:dyDescent="0.2"/>
    <row r="88" spans="1:24" ht="21.75" customHeight="1" x14ac:dyDescent="0.2"/>
    <row r="89" spans="1:24" ht="21.75" customHeight="1" x14ac:dyDescent="0.2"/>
    <row r="90" spans="1:24" ht="21.75" customHeight="1" x14ac:dyDescent="0.2"/>
    <row r="91" spans="1:24" ht="21.75" customHeight="1" x14ac:dyDescent="0.2"/>
    <row r="92" spans="1:24" ht="21.75" customHeight="1" x14ac:dyDescent="0.2"/>
    <row r="93" spans="1:24" ht="21.75" customHeight="1" x14ac:dyDescent="0.2"/>
    <row r="94" spans="1:24" ht="21.75" customHeight="1" x14ac:dyDescent="0.2"/>
    <row r="95" spans="1:24" ht="21.75" customHeight="1" x14ac:dyDescent="0.2"/>
    <row r="96" spans="1:24" s="23" customFormat="1" ht="21.75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4"/>
      <c r="M96" s="3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5" ht="21.75" customHeight="1" x14ac:dyDescent="0.2">
      <c r="Y97" s="23"/>
    </row>
    <row r="98" spans="1:25" ht="21.75" customHeight="1" x14ac:dyDescent="0.2"/>
    <row r="99" spans="1:25" ht="21.75" customHeight="1" x14ac:dyDescent="0.2"/>
    <row r="100" spans="1:25" ht="21.75" customHeight="1" x14ac:dyDescent="0.2"/>
    <row r="101" spans="1:25" ht="21.75" customHeight="1" x14ac:dyDescent="0.2"/>
    <row r="102" spans="1:25" ht="21.75" customHeight="1" x14ac:dyDescent="0.2"/>
    <row r="103" spans="1:25" ht="21.75" customHeight="1" x14ac:dyDescent="0.2"/>
    <row r="104" spans="1:25" ht="21.75" customHeight="1" x14ac:dyDescent="0.2"/>
    <row r="105" spans="1:25" ht="21.75" customHeight="1" x14ac:dyDescent="0.2"/>
    <row r="106" spans="1:25" s="22" customFormat="1" ht="21.9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4"/>
      <c r="M106" s="3"/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7" customFormat="1" ht="21.7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4"/>
      <c r="M107" s="3"/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2"/>
    </row>
    <row r="108" spans="1:25" s="7" customFormat="1" ht="21.7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4"/>
      <c r="M108" s="3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5" s="7" customFormat="1" ht="21.7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4"/>
      <c r="M109" s="3"/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5" s="7" customFormat="1" ht="18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4"/>
      <c r="M110" s="3"/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5" s="7" customFormat="1" ht="21.95" customHeight="1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4"/>
      <c r="M111" s="3"/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5" s="23" customFormat="1" ht="21.75" customHeight="1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4"/>
      <c r="M112" s="3"/>
      <c r="N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7"/>
    </row>
    <row r="113" spans="25:25" ht="21.75" customHeight="1" x14ac:dyDescent="0.2">
      <c r="Y113" s="23"/>
    </row>
    <row r="114" spans="25:25" ht="21.75" customHeight="1" x14ac:dyDescent="0.2"/>
    <row r="115" spans="25:25" ht="21.75" customHeight="1" x14ac:dyDescent="0.2"/>
    <row r="116" spans="25:25" ht="21.75" customHeight="1" x14ac:dyDescent="0.2"/>
    <row r="117" spans="25:25" ht="21.75" customHeight="1" x14ac:dyDescent="0.2"/>
    <row r="118" spans="25:25" ht="21.75" customHeight="1" x14ac:dyDescent="0.2"/>
    <row r="119" spans="25:25" ht="21.75" customHeight="1" x14ac:dyDescent="0.2"/>
    <row r="120" spans="25:25" ht="21.75" customHeight="1" x14ac:dyDescent="0.2"/>
    <row r="121" spans="25:25" ht="21.75" customHeight="1" x14ac:dyDescent="0.2"/>
    <row r="122" spans="25:25" ht="21.75" customHeight="1" x14ac:dyDescent="0.2"/>
    <row r="123" spans="25:25" ht="21.75" customHeight="1" x14ac:dyDescent="0.2"/>
    <row r="124" spans="25:25" ht="21.75" customHeight="1" x14ac:dyDescent="0.2"/>
    <row r="125" spans="25:25" ht="21.75" customHeight="1" x14ac:dyDescent="0.2"/>
    <row r="126" spans="25:25" ht="21.75" customHeight="1" x14ac:dyDescent="0.2"/>
    <row r="127" spans="25:25" ht="21.75" customHeight="1" x14ac:dyDescent="0.2"/>
    <row r="128" spans="25:25" ht="21.75" customHeight="1" x14ac:dyDescent="0.2"/>
    <row r="129" spans="1:25" ht="21.75" customHeight="1" x14ac:dyDescent="0.2"/>
    <row r="130" spans="1:25" ht="21.75" customHeight="1" x14ac:dyDescent="0.2"/>
    <row r="131" spans="1:25" s="20" customFormat="1" ht="21.75" customHeight="1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4"/>
      <c r="M131" s="3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Y132" s="20"/>
    </row>
  </sheetData>
  <mergeCells count="22">
    <mergeCell ref="N2:N4"/>
    <mergeCell ref="X3:X4"/>
    <mergeCell ref="R3:R4"/>
    <mergeCell ref="Q3:Q4"/>
    <mergeCell ref="O2:S2"/>
    <mergeCell ref="T2:X2"/>
    <mergeCell ref="U3:U4"/>
    <mergeCell ref="V3:V4"/>
    <mergeCell ref="T3:T4"/>
    <mergeCell ref="W3:W4"/>
    <mergeCell ref="O3:O4"/>
    <mergeCell ref="P3:P4"/>
    <mergeCell ref="B3:E3"/>
    <mergeCell ref="J3:J4"/>
    <mergeCell ref="S3:S4"/>
    <mergeCell ref="A1:X1"/>
    <mergeCell ref="A2:A4"/>
    <mergeCell ref="B2:J2"/>
    <mergeCell ref="K2:K4"/>
    <mergeCell ref="L2:L4"/>
    <mergeCell ref="F3:I3"/>
    <mergeCell ref="M2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AP132"/>
  <sheetViews>
    <sheetView view="pageBreakPreview" zoomScale="90" zoomScaleNormal="100" zoomScaleSheetLayoutView="90" workbookViewId="0">
      <pane xSplit="2" ySplit="5" topLeftCell="R6" activePane="bottomRight" state="frozen"/>
      <selection activeCell="U9" sqref="U9"/>
      <selection pane="topRight" activeCell="U9" sqref="U9"/>
      <selection pane="bottomLeft" activeCell="U9" sqref="U9"/>
      <selection pane="bottomRight" activeCell="U9" sqref="U9"/>
    </sheetView>
  </sheetViews>
  <sheetFormatPr defaultColWidth="8.375" defaultRowHeight="20.25" x14ac:dyDescent="0.2"/>
  <cols>
    <col min="1" max="1" width="32.375" style="2" customWidth="1"/>
    <col min="2" max="2" width="30.375" style="279" bestFit="1" customWidth="1"/>
    <col min="3" max="3" width="4.125" style="3" bestFit="1" customWidth="1"/>
    <col min="4" max="5" width="4.375" style="3" customWidth="1"/>
    <col min="6" max="6" width="6.125" style="3" bestFit="1" customWidth="1"/>
    <col min="7" max="8" width="4.375" style="3" customWidth="1"/>
    <col min="9" max="9" width="5.25" style="3" bestFit="1" customWidth="1"/>
    <col min="10" max="10" width="5" style="3" bestFit="1" customWidth="1"/>
    <col min="11" max="11" width="8" style="3" bestFit="1" customWidth="1"/>
    <col min="12" max="12" width="9.875" style="3" customWidth="1"/>
    <col min="13" max="13" width="8.875" style="3" customWidth="1"/>
    <col min="14" max="14" width="13" style="3" bestFit="1" customWidth="1"/>
    <col min="15" max="15" width="10" style="3" customWidth="1"/>
    <col min="16" max="16" width="13" style="31" bestFit="1" customWidth="1"/>
    <col min="17" max="17" width="8.75" style="2" customWidth="1"/>
    <col min="18" max="18" width="10.75" style="2" bestFit="1" customWidth="1"/>
    <col min="19" max="19" width="8.125" style="34" customWidth="1"/>
    <col min="20" max="20" width="10.375" style="32" bestFit="1" customWidth="1"/>
    <col min="21" max="21" width="8.125" style="32" customWidth="1"/>
    <col min="22" max="22" width="10.375" style="32" bestFit="1" customWidth="1"/>
    <col min="23" max="23" width="10.375" style="32" customWidth="1"/>
    <col min="24" max="24" width="8.875" style="54" customWidth="1"/>
    <col min="25" max="25" width="8.625" style="2" customWidth="1"/>
    <col min="26" max="26" width="7.125" style="2" customWidth="1"/>
    <col min="27" max="27" width="8" style="2" customWidth="1"/>
    <col min="28" max="28" width="9" style="3" bestFit="1" customWidth="1"/>
    <col min="29" max="29" width="9" style="53" customWidth="1"/>
    <col min="30" max="30" width="9.625" style="52" bestFit="1" customWidth="1"/>
    <col min="31" max="33" width="4.875" style="2" bestFit="1" customWidth="1"/>
    <col min="34" max="34" width="4.375" style="2" customWidth="1"/>
    <col min="35" max="35" width="3.75" style="2" customWidth="1"/>
    <col min="36" max="40" width="4.875" style="15" bestFit="1" customWidth="1"/>
    <col min="41" max="41" width="36.375" style="2" bestFit="1" customWidth="1"/>
    <col min="42" max="16384" width="8.375" style="2"/>
  </cols>
  <sheetData>
    <row r="1" spans="1:42" ht="28.5" customHeight="1" x14ac:dyDescent="0.2">
      <c r="A1" s="394" t="s">
        <v>197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63" t="s">
        <v>196</v>
      </c>
    </row>
    <row r="2" spans="1:42" ht="24" x14ac:dyDescent="0.2">
      <c r="A2" s="394" t="s">
        <v>195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63"/>
    </row>
    <row r="3" spans="1:42" s="231" customFormat="1" ht="45" customHeight="1" x14ac:dyDescent="0.2">
      <c r="A3" s="361" t="s">
        <v>200</v>
      </c>
      <c r="B3" s="361" t="s">
        <v>142</v>
      </c>
      <c r="C3" s="395" t="s">
        <v>143</v>
      </c>
      <c r="D3" s="396"/>
      <c r="E3" s="396"/>
      <c r="F3" s="396"/>
      <c r="G3" s="396"/>
      <c r="H3" s="396"/>
      <c r="I3" s="396"/>
      <c r="J3" s="396"/>
      <c r="K3" s="396"/>
      <c r="L3" s="397" t="s">
        <v>144</v>
      </c>
      <c r="M3" s="430" t="s">
        <v>145</v>
      </c>
      <c r="N3" s="382" t="s">
        <v>146</v>
      </c>
      <c r="O3" s="382"/>
      <c r="P3" s="382"/>
      <c r="Q3" s="380" t="s">
        <v>147</v>
      </c>
      <c r="R3" s="387" t="s">
        <v>148</v>
      </c>
      <c r="S3" s="380" t="s">
        <v>149</v>
      </c>
      <c r="T3" s="381" t="s">
        <v>150</v>
      </c>
      <c r="U3" s="381"/>
      <c r="V3" s="381"/>
      <c r="W3" s="381" t="s">
        <v>151</v>
      </c>
      <c r="X3" s="390" t="s">
        <v>152</v>
      </c>
      <c r="Y3" s="400" t="s">
        <v>153</v>
      </c>
      <c r="Z3" s="382" t="s">
        <v>154</v>
      </c>
      <c r="AA3" s="382"/>
      <c r="AB3" s="382"/>
      <c r="AC3" s="401" t="s">
        <v>155</v>
      </c>
      <c r="AD3" s="402" t="s">
        <v>156</v>
      </c>
      <c r="AE3" s="382" t="s">
        <v>157</v>
      </c>
      <c r="AF3" s="383"/>
      <c r="AG3" s="383"/>
      <c r="AH3" s="383"/>
      <c r="AI3" s="383"/>
      <c r="AJ3" s="384" t="s">
        <v>158</v>
      </c>
      <c r="AK3" s="385"/>
      <c r="AL3" s="385"/>
      <c r="AM3" s="385"/>
      <c r="AN3" s="385"/>
      <c r="AO3" s="353" t="s">
        <v>159</v>
      </c>
    </row>
    <row r="4" spans="1:42" s="231" customFormat="1" ht="20.25" customHeight="1" x14ac:dyDescent="0.2">
      <c r="A4" s="361"/>
      <c r="B4" s="361"/>
      <c r="C4" s="398" t="s">
        <v>1</v>
      </c>
      <c r="D4" s="398"/>
      <c r="E4" s="398"/>
      <c r="F4" s="398"/>
      <c r="G4" s="398" t="s">
        <v>2</v>
      </c>
      <c r="H4" s="398"/>
      <c r="I4" s="398"/>
      <c r="J4" s="398"/>
      <c r="K4" s="382" t="s">
        <v>0</v>
      </c>
      <c r="L4" s="397"/>
      <c r="M4" s="430"/>
      <c r="N4" s="399" t="s">
        <v>9</v>
      </c>
      <c r="O4" s="399" t="s">
        <v>13</v>
      </c>
      <c r="P4" s="391" t="s">
        <v>14</v>
      </c>
      <c r="Q4" s="380"/>
      <c r="R4" s="388"/>
      <c r="S4" s="380"/>
      <c r="T4" s="378" t="s">
        <v>3</v>
      </c>
      <c r="U4" s="378" t="s">
        <v>28</v>
      </c>
      <c r="V4" s="379" t="s">
        <v>29</v>
      </c>
      <c r="W4" s="381"/>
      <c r="X4" s="390"/>
      <c r="Y4" s="400"/>
      <c r="Z4" s="230" t="s">
        <v>4</v>
      </c>
      <c r="AA4" s="230" t="s">
        <v>125</v>
      </c>
      <c r="AB4" s="230" t="s">
        <v>126</v>
      </c>
      <c r="AC4" s="401"/>
      <c r="AD4" s="402"/>
      <c r="AE4" s="393">
        <v>2564</v>
      </c>
      <c r="AF4" s="393">
        <v>2565</v>
      </c>
      <c r="AG4" s="393">
        <v>2566</v>
      </c>
      <c r="AH4" s="393">
        <v>2567</v>
      </c>
      <c r="AI4" s="393">
        <v>2568</v>
      </c>
      <c r="AJ4" s="392">
        <v>2564</v>
      </c>
      <c r="AK4" s="392">
        <v>2565</v>
      </c>
      <c r="AL4" s="392">
        <v>2566</v>
      </c>
      <c r="AM4" s="392">
        <v>2567</v>
      </c>
      <c r="AN4" s="392">
        <v>2568</v>
      </c>
      <c r="AO4" s="353"/>
    </row>
    <row r="5" spans="1:42" s="231" customFormat="1" ht="37.5" x14ac:dyDescent="0.2">
      <c r="A5" s="361"/>
      <c r="B5" s="361"/>
      <c r="C5" s="232" t="s">
        <v>5</v>
      </c>
      <c r="D5" s="232" t="s">
        <v>6</v>
      </c>
      <c r="E5" s="232" t="s">
        <v>7</v>
      </c>
      <c r="F5" s="232" t="s">
        <v>8</v>
      </c>
      <c r="G5" s="232" t="s">
        <v>5</v>
      </c>
      <c r="H5" s="232" t="s">
        <v>6</v>
      </c>
      <c r="I5" s="232" t="s">
        <v>7</v>
      </c>
      <c r="J5" s="232" t="s">
        <v>8</v>
      </c>
      <c r="K5" s="382"/>
      <c r="L5" s="397"/>
      <c r="M5" s="430"/>
      <c r="N5" s="399"/>
      <c r="O5" s="399"/>
      <c r="P5" s="391"/>
      <c r="Q5" s="380"/>
      <c r="R5" s="389"/>
      <c r="S5" s="380"/>
      <c r="T5" s="378"/>
      <c r="U5" s="378"/>
      <c r="V5" s="379"/>
      <c r="W5" s="381"/>
      <c r="X5" s="390"/>
      <c r="Y5" s="400"/>
      <c r="Z5" s="230" t="s">
        <v>160</v>
      </c>
      <c r="AA5" s="230" t="s">
        <v>161</v>
      </c>
      <c r="AB5" s="230" t="s">
        <v>162</v>
      </c>
      <c r="AC5" s="401"/>
      <c r="AD5" s="402"/>
      <c r="AE5" s="393"/>
      <c r="AF5" s="393"/>
      <c r="AG5" s="393"/>
      <c r="AH5" s="393"/>
      <c r="AI5" s="393"/>
      <c r="AJ5" s="392"/>
      <c r="AK5" s="392"/>
      <c r="AL5" s="392"/>
      <c r="AM5" s="392"/>
      <c r="AN5" s="392"/>
      <c r="AO5" s="354"/>
    </row>
    <row r="6" spans="1:42" s="9" customFormat="1" ht="21.95" customHeight="1" x14ac:dyDescent="0.2">
      <c r="A6" s="64" t="s">
        <v>45</v>
      </c>
      <c r="B6" s="261"/>
      <c r="C6" s="65">
        <f t="shared" ref="C6:AD6" si="0">SUM(C7:C18)</f>
        <v>0</v>
      </c>
      <c r="D6" s="65">
        <f t="shared" si="0"/>
        <v>3</v>
      </c>
      <c r="E6" s="65">
        <f t="shared" si="0"/>
        <v>19</v>
      </c>
      <c r="F6" s="65">
        <f t="shared" si="0"/>
        <v>4</v>
      </c>
      <c r="G6" s="65">
        <f t="shared" si="0"/>
        <v>0</v>
      </c>
      <c r="H6" s="65">
        <f t="shared" si="0"/>
        <v>0</v>
      </c>
      <c r="I6" s="65">
        <f t="shared" si="0"/>
        <v>15</v>
      </c>
      <c r="J6" s="65">
        <f t="shared" si="0"/>
        <v>22</v>
      </c>
      <c r="K6" s="65">
        <f t="shared" si="0"/>
        <v>63</v>
      </c>
      <c r="L6" s="65">
        <f t="shared" si="0"/>
        <v>0</v>
      </c>
      <c r="M6" s="66">
        <f t="shared" si="0"/>
        <v>63</v>
      </c>
      <c r="N6" s="67">
        <f t="shared" si="0"/>
        <v>672.86111111111063</v>
      </c>
      <c r="O6" s="67">
        <f t="shared" si="0"/>
        <v>346.51111111111106</v>
      </c>
      <c r="P6" s="67">
        <f t="shared" si="0"/>
        <v>1019.3722222222218</v>
      </c>
      <c r="Q6" s="68">
        <f t="shared" si="0"/>
        <v>33.979074074074056</v>
      </c>
      <c r="R6" s="68">
        <f t="shared" si="0"/>
        <v>1070.340833333333</v>
      </c>
      <c r="S6" s="68">
        <f t="shared" si="0"/>
        <v>35.678027777777757</v>
      </c>
      <c r="T6" s="65">
        <f t="shared" si="0"/>
        <v>1940</v>
      </c>
      <c r="U6" s="65">
        <f t="shared" si="0"/>
        <v>192</v>
      </c>
      <c r="V6" s="65">
        <f t="shared" si="0"/>
        <v>2132</v>
      </c>
      <c r="W6" s="65">
        <f t="shared" si="0"/>
        <v>1066</v>
      </c>
      <c r="X6" s="65">
        <f t="shared" si="0"/>
        <v>80.802380952380943</v>
      </c>
      <c r="Y6" s="65">
        <f t="shared" si="0"/>
        <v>76.142857142857153</v>
      </c>
      <c r="Z6" s="69">
        <f t="shared" si="0"/>
        <v>-28.898425925925942</v>
      </c>
      <c r="AA6" s="69">
        <f t="shared" si="0"/>
        <v>17.888095238095239</v>
      </c>
      <c r="AB6" s="69">
        <f t="shared" si="0"/>
        <v>13.000000000000002</v>
      </c>
      <c r="AC6" s="68">
        <f t="shared" si="0"/>
        <v>46</v>
      </c>
      <c r="AD6" s="68">
        <f t="shared" si="0"/>
        <v>33.979074074074056</v>
      </c>
      <c r="AE6" s="70">
        <f t="shared" ref="AE6:AN6" si="1">SUM(AE7:AE18)</f>
        <v>1</v>
      </c>
      <c r="AF6" s="70">
        <f t="shared" si="1"/>
        <v>1</v>
      </c>
      <c r="AG6" s="70">
        <f t="shared" si="1"/>
        <v>5</v>
      </c>
      <c r="AH6" s="70">
        <f t="shared" si="1"/>
        <v>1</v>
      </c>
      <c r="AI6" s="70">
        <f t="shared" si="1"/>
        <v>0</v>
      </c>
      <c r="AJ6" s="70">
        <f t="shared" si="1"/>
        <v>0</v>
      </c>
      <c r="AK6" s="70">
        <f t="shared" si="1"/>
        <v>0</v>
      </c>
      <c r="AL6" s="70">
        <f t="shared" si="1"/>
        <v>0</v>
      </c>
      <c r="AM6" s="70">
        <f t="shared" si="1"/>
        <v>0</v>
      </c>
      <c r="AN6" s="70">
        <f t="shared" si="1"/>
        <v>0</v>
      </c>
      <c r="AO6" s="71"/>
      <c r="AP6" s="72"/>
    </row>
    <row r="7" spans="1:42" s="7" customFormat="1" ht="21.95" customHeight="1" x14ac:dyDescent="0.2">
      <c r="A7" s="348" t="s">
        <v>44</v>
      </c>
      <c r="B7" s="262" t="s">
        <v>18</v>
      </c>
      <c r="C7" s="75" t="s">
        <v>38</v>
      </c>
      <c r="D7" s="75" t="s">
        <v>38</v>
      </c>
      <c r="E7" s="75">
        <v>2</v>
      </c>
      <c r="F7" s="75" t="s">
        <v>38</v>
      </c>
      <c r="G7" s="76" t="s">
        <v>38</v>
      </c>
      <c r="H7" s="76" t="s">
        <v>38</v>
      </c>
      <c r="I7" s="76">
        <v>1</v>
      </c>
      <c r="J7" s="77" t="s">
        <v>38</v>
      </c>
      <c r="K7" s="78">
        <f t="shared" ref="K7:K18" si="2">SUM(D7:J7)</f>
        <v>3</v>
      </c>
      <c r="L7" s="79">
        <f>-L8</f>
        <v>0</v>
      </c>
      <c r="M7" s="80">
        <f t="shared" ref="M7:M19" si="3">K7-L7</f>
        <v>3</v>
      </c>
      <c r="N7" s="81">
        <v>0</v>
      </c>
      <c r="O7" s="81">
        <f>14.3333333333333*1.8</f>
        <v>25.79999999999994</v>
      </c>
      <c r="P7" s="82">
        <f t="shared" ref="P7:P19" si="4">SUM(N7:O7)</f>
        <v>25.79999999999994</v>
      </c>
      <c r="Q7" s="83">
        <f t="shared" ref="Q7:Q18" si="5">P7/30</f>
        <v>0.85999999999999799</v>
      </c>
      <c r="R7" s="84">
        <f t="shared" ref="R7:R18" si="6">(P7*0.05)+P7</f>
        <v>27.089999999999936</v>
      </c>
      <c r="S7" s="83">
        <f t="shared" ref="S7:S18" si="7">R7/30</f>
        <v>0.90299999999999792</v>
      </c>
      <c r="T7" s="85">
        <v>0</v>
      </c>
      <c r="U7" s="86">
        <v>32</v>
      </c>
      <c r="V7" s="78">
        <f t="shared" ref="V7:V12" si="8">SUM(T7:U7)</f>
        <v>32</v>
      </c>
      <c r="W7" s="78">
        <f>V7/2</f>
        <v>16</v>
      </c>
      <c r="X7" s="87">
        <f>V7/28</f>
        <v>1.1428571428571428</v>
      </c>
      <c r="Y7" s="88">
        <f>W7/14</f>
        <v>1.1428571428571428</v>
      </c>
      <c r="Z7" s="89">
        <f t="shared" ref="Z7:Z18" si="9">Q7-M7</f>
        <v>-2.1400000000000019</v>
      </c>
      <c r="AA7" s="89">
        <f t="shared" ref="AA7:AA18" si="10">X7-M7</f>
        <v>-1.8571428571428572</v>
      </c>
      <c r="AB7" s="89">
        <f t="shared" ref="AB7:AB33" si="11">Y7-M7</f>
        <v>-1.8571428571428572</v>
      </c>
      <c r="AC7" s="90">
        <v>3</v>
      </c>
      <c r="AD7" s="91">
        <f t="shared" ref="AD7:AD18" si="12">P7/30</f>
        <v>0.85999999999999799</v>
      </c>
      <c r="AE7" s="92" t="s">
        <v>38</v>
      </c>
      <c r="AF7" s="92" t="s">
        <v>38</v>
      </c>
      <c r="AG7" s="92">
        <v>2</v>
      </c>
      <c r="AH7" s="92" t="s">
        <v>38</v>
      </c>
      <c r="AI7" s="92" t="s">
        <v>38</v>
      </c>
      <c r="AJ7" s="93" t="s">
        <v>38</v>
      </c>
      <c r="AK7" s="93" t="s">
        <v>38</v>
      </c>
      <c r="AL7" s="93" t="s">
        <v>38</v>
      </c>
      <c r="AM7" s="93" t="s">
        <v>38</v>
      </c>
      <c r="AN7" s="93" t="s">
        <v>38</v>
      </c>
      <c r="AO7" s="94" t="s">
        <v>127</v>
      </c>
      <c r="AP7" s="95"/>
    </row>
    <row r="8" spans="1:42" s="10" customFormat="1" ht="21.95" customHeight="1" x14ac:dyDescent="0.2">
      <c r="A8" s="348"/>
      <c r="B8" s="262" t="s">
        <v>19</v>
      </c>
      <c r="C8" s="96" t="s">
        <v>38</v>
      </c>
      <c r="D8" s="96" t="s">
        <v>38</v>
      </c>
      <c r="E8" s="96">
        <v>1</v>
      </c>
      <c r="F8" s="96" t="s">
        <v>38</v>
      </c>
      <c r="G8" s="97" t="s">
        <v>38</v>
      </c>
      <c r="H8" s="97" t="s">
        <v>38</v>
      </c>
      <c r="I8" s="97">
        <v>1</v>
      </c>
      <c r="J8" s="97">
        <v>3</v>
      </c>
      <c r="K8" s="78">
        <f t="shared" si="2"/>
        <v>5</v>
      </c>
      <c r="L8" s="79">
        <v>0</v>
      </c>
      <c r="M8" s="80">
        <f t="shared" si="3"/>
        <v>5</v>
      </c>
      <c r="N8" s="98">
        <v>0</v>
      </c>
      <c r="O8" s="98">
        <f>19.8333333333333*1.8</f>
        <v>35.699999999999939</v>
      </c>
      <c r="P8" s="82">
        <f t="shared" si="4"/>
        <v>35.699999999999939</v>
      </c>
      <c r="Q8" s="83">
        <f t="shared" si="5"/>
        <v>1.1899999999999979</v>
      </c>
      <c r="R8" s="84">
        <f t="shared" si="6"/>
        <v>37.484999999999935</v>
      </c>
      <c r="S8" s="83">
        <f t="shared" si="7"/>
        <v>1.2494999999999978</v>
      </c>
      <c r="T8" s="99">
        <f>228+99</f>
        <v>327</v>
      </c>
      <c r="U8" s="86">
        <v>32</v>
      </c>
      <c r="V8" s="78">
        <f t="shared" si="8"/>
        <v>359</v>
      </c>
      <c r="W8" s="78">
        <f t="shared" ref="W8:W74" si="13">V8/2</f>
        <v>179.5</v>
      </c>
      <c r="X8" s="87">
        <f>V8/12</f>
        <v>29.916666666666668</v>
      </c>
      <c r="Y8" s="88">
        <f t="shared" ref="Y8:Y74" si="14">W8/14</f>
        <v>12.821428571428571</v>
      </c>
      <c r="Z8" s="100">
        <f t="shared" si="9"/>
        <v>-3.8100000000000023</v>
      </c>
      <c r="AA8" s="100">
        <f t="shared" si="10"/>
        <v>24.916666666666668</v>
      </c>
      <c r="AB8" s="100">
        <f t="shared" si="11"/>
        <v>7.8214285714285712</v>
      </c>
      <c r="AC8" s="90">
        <v>3</v>
      </c>
      <c r="AD8" s="91">
        <f t="shared" si="12"/>
        <v>1.1899999999999979</v>
      </c>
      <c r="AE8" s="101" t="s">
        <v>38</v>
      </c>
      <c r="AF8" s="101" t="s">
        <v>38</v>
      </c>
      <c r="AG8" s="101" t="s">
        <v>38</v>
      </c>
      <c r="AH8" s="101" t="s">
        <v>38</v>
      </c>
      <c r="AI8" s="101" t="s">
        <v>38</v>
      </c>
      <c r="AJ8" s="93" t="s">
        <v>38</v>
      </c>
      <c r="AK8" s="93" t="s">
        <v>38</v>
      </c>
      <c r="AL8" s="93" t="s">
        <v>38</v>
      </c>
      <c r="AM8" s="93" t="s">
        <v>38</v>
      </c>
      <c r="AN8" s="93" t="s">
        <v>38</v>
      </c>
      <c r="AO8" s="94"/>
      <c r="AP8" s="63"/>
    </row>
    <row r="9" spans="1:42" s="7" customFormat="1" ht="21.95" customHeight="1" x14ac:dyDescent="0.2">
      <c r="A9" s="73" t="s">
        <v>46</v>
      </c>
      <c r="B9" s="263" t="s">
        <v>21</v>
      </c>
      <c r="C9" s="75" t="s">
        <v>38</v>
      </c>
      <c r="D9" s="75" t="s">
        <v>38</v>
      </c>
      <c r="E9" s="75">
        <v>3</v>
      </c>
      <c r="F9" s="75">
        <v>1</v>
      </c>
      <c r="G9" s="76" t="s">
        <v>38</v>
      </c>
      <c r="H9" s="76" t="s">
        <v>38</v>
      </c>
      <c r="I9" s="76">
        <v>3</v>
      </c>
      <c r="J9" s="97" t="s">
        <v>38</v>
      </c>
      <c r="K9" s="78">
        <f t="shared" si="2"/>
        <v>7</v>
      </c>
      <c r="L9" s="79">
        <v>0</v>
      </c>
      <c r="M9" s="80">
        <f t="shared" si="3"/>
        <v>7</v>
      </c>
      <c r="N9" s="81">
        <v>228.444444444444</v>
      </c>
      <c r="O9" s="81">
        <v>0</v>
      </c>
      <c r="P9" s="82">
        <f t="shared" si="4"/>
        <v>228.444444444444</v>
      </c>
      <c r="Q9" s="83">
        <f t="shared" si="5"/>
        <v>7.6148148148148005</v>
      </c>
      <c r="R9" s="84">
        <f t="shared" si="6"/>
        <v>239.86666666666619</v>
      </c>
      <c r="S9" s="83">
        <f t="shared" si="7"/>
        <v>7.9955555555555398</v>
      </c>
      <c r="T9" s="103">
        <v>207</v>
      </c>
      <c r="U9" s="85">
        <v>0</v>
      </c>
      <c r="V9" s="78">
        <f t="shared" si="8"/>
        <v>207</v>
      </c>
      <c r="W9" s="78">
        <f t="shared" si="13"/>
        <v>103.5</v>
      </c>
      <c r="X9" s="87">
        <f t="shared" ref="X9:X18" si="15">V9/35</f>
        <v>5.9142857142857146</v>
      </c>
      <c r="Y9" s="88">
        <f t="shared" si="14"/>
        <v>7.3928571428571432</v>
      </c>
      <c r="Z9" s="89">
        <f t="shared" si="9"/>
        <v>0.61481481481480049</v>
      </c>
      <c r="AA9" s="89">
        <f t="shared" si="10"/>
        <v>-1.0857142857142854</v>
      </c>
      <c r="AB9" s="89">
        <f t="shared" si="11"/>
        <v>0.39285714285714324</v>
      </c>
      <c r="AC9" s="90">
        <v>5</v>
      </c>
      <c r="AD9" s="91">
        <f t="shared" si="12"/>
        <v>7.6148148148148005</v>
      </c>
      <c r="AE9" s="92" t="s">
        <v>38</v>
      </c>
      <c r="AF9" s="92" t="s">
        <v>38</v>
      </c>
      <c r="AG9" s="92">
        <v>1</v>
      </c>
      <c r="AH9" s="92">
        <v>1</v>
      </c>
      <c r="AI9" s="92" t="s">
        <v>38</v>
      </c>
      <c r="AJ9" s="93" t="s">
        <v>38</v>
      </c>
      <c r="AK9" s="93" t="s">
        <v>38</v>
      </c>
      <c r="AL9" s="93" t="s">
        <v>38</v>
      </c>
      <c r="AM9" s="93" t="s">
        <v>38</v>
      </c>
      <c r="AN9" s="93" t="s">
        <v>38</v>
      </c>
      <c r="AO9" s="94"/>
      <c r="AP9" s="95"/>
    </row>
    <row r="10" spans="1:42" s="10" customFormat="1" ht="21.95" customHeight="1" x14ac:dyDescent="0.2">
      <c r="A10" s="104" t="s">
        <v>47</v>
      </c>
      <c r="B10" s="262" t="s">
        <v>21</v>
      </c>
      <c r="C10" s="75" t="s">
        <v>38</v>
      </c>
      <c r="D10" s="75" t="s">
        <v>38</v>
      </c>
      <c r="E10" s="75">
        <v>2</v>
      </c>
      <c r="F10" s="75">
        <v>2</v>
      </c>
      <c r="G10" s="76" t="s">
        <v>38</v>
      </c>
      <c r="H10" s="76" t="s">
        <v>38</v>
      </c>
      <c r="I10" s="76">
        <v>1</v>
      </c>
      <c r="J10" s="77">
        <v>4</v>
      </c>
      <c r="K10" s="78">
        <f t="shared" si="2"/>
        <v>9</v>
      </c>
      <c r="L10" s="79">
        <v>0</v>
      </c>
      <c r="M10" s="80">
        <f t="shared" si="3"/>
        <v>9</v>
      </c>
      <c r="N10" s="98">
        <v>126.30555555555556</v>
      </c>
      <c r="O10" s="98">
        <v>0</v>
      </c>
      <c r="P10" s="82">
        <f t="shared" si="4"/>
        <v>126.30555555555556</v>
      </c>
      <c r="Q10" s="83">
        <f t="shared" si="5"/>
        <v>4.2101851851851855</v>
      </c>
      <c r="R10" s="84">
        <f t="shared" si="6"/>
        <v>132.62083333333334</v>
      </c>
      <c r="S10" s="83">
        <f t="shared" si="7"/>
        <v>4.4206944444444449</v>
      </c>
      <c r="T10" s="103">
        <v>221</v>
      </c>
      <c r="U10" s="85">
        <v>0</v>
      </c>
      <c r="V10" s="78">
        <f t="shared" si="8"/>
        <v>221</v>
      </c>
      <c r="W10" s="78">
        <f t="shared" si="13"/>
        <v>110.5</v>
      </c>
      <c r="X10" s="87">
        <f t="shared" si="15"/>
        <v>6.3142857142857141</v>
      </c>
      <c r="Y10" s="88">
        <f t="shared" si="14"/>
        <v>7.8928571428571432</v>
      </c>
      <c r="Z10" s="100">
        <f t="shared" si="9"/>
        <v>-4.7898148148148145</v>
      </c>
      <c r="AA10" s="100">
        <f t="shared" si="10"/>
        <v>-2.6857142857142859</v>
      </c>
      <c r="AB10" s="100">
        <f t="shared" si="11"/>
        <v>-1.1071428571428568</v>
      </c>
      <c r="AC10" s="90">
        <v>5</v>
      </c>
      <c r="AD10" s="91">
        <f t="shared" si="12"/>
        <v>4.2101851851851855</v>
      </c>
      <c r="AE10" s="101" t="s">
        <v>38</v>
      </c>
      <c r="AF10" s="101" t="s">
        <v>38</v>
      </c>
      <c r="AG10" s="101" t="s">
        <v>38</v>
      </c>
      <c r="AH10" s="101" t="s">
        <v>38</v>
      </c>
      <c r="AI10" s="101" t="s">
        <v>38</v>
      </c>
      <c r="AJ10" s="93" t="s">
        <v>38</v>
      </c>
      <c r="AK10" s="93" t="s">
        <v>38</v>
      </c>
      <c r="AL10" s="93" t="s">
        <v>38</v>
      </c>
      <c r="AM10" s="93" t="s">
        <v>38</v>
      </c>
      <c r="AN10" s="93" t="s">
        <v>38</v>
      </c>
      <c r="AO10" s="94"/>
      <c r="AP10" s="63"/>
    </row>
    <row r="11" spans="1:42" s="10" customFormat="1" ht="21.95" customHeight="1" x14ac:dyDescent="0.2">
      <c r="A11" s="348" t="s">
        <v>48</v>
      </c>
      <c r="B11" s="262" t="s">
        <v>128</v>
      </c>
      <c r="C11" s="105" t="s">
        <v>38</v>
      </c>
      <c r="D11" s="96">
        <v>1</v>
      </c>
      <c r="E11" s="96" t="s">
        <v>38</v>
      </c>
      <c r="F11" s="96" t="s">
        <v>38</v>
      </c>
      <c r="G11" s="106" t="s">
        <v>38</v>
      </c>
      <c r="H11" s="76" t="s">
        <v>38</v>
      </c>
      <c r="I11" s="76" t="s">
        <v>38</v>
      </c>
      <c r="J11" s="77" t="s">
        <v>38</v>
      </c>
      <c r="K11" s="78">
        <f t="shared" si="2"/>
        <v>1</v>
      </c>
      <c r="L11" s="79">
        <v>0</v>
      </c>
      <c r="M11" s="80">
        <f t="shared" si="3"/>
        <v>1</v>
      </c>
      <c r="N11" s="98">
        <v>0</v>
      </c>
      <c r="O11" s="98">
        <f>14.625*1.8</f>
        <v>26.324999999999999</v>
      </c>
      <c r="P11" s="82">
        <f t="shared" si="4"/>
        <v>26.324999999999999</v>
      </c>
      <c r="Q11" s="83">
        <f t="shared" si="5"/>
        <v>0.87749999999999995</v>
      </c>
      <c r="R11" s="84">
        <f t="shared" si="6"/>
        <v>27.641249999999999</v>
      </c>
      <c r="S11" s="83">
        <f t="shared" si="7"/>
        <v>0.92137499999999994</v>
      </c>
      <c r="T11" s="103">
        <v>0</v>
      </c>
      <c r="U11" s="107">
        <v>32</v>
      </c>
      <c r="V11" s="78">
        <f t="shared" si="8"/>
        <v>32</v>
      </c>
      <c r="W11" s="78">
        <f t="shared" si="13"/>
        <v>16</v>
      </c>
      <c r="X11" s="87">
        <f t="shared" si="15"/>
        <v>0.91428571428571426</v>
      </c>
      <c r="Y11" s="88">
        <f t="shared" si="14"/>
        <v>1.1428571428571428</v>
      </c>
      <c r="Z11" s="78">
        <v>0</v>
      </c>
      <c r="AA11" s="78">
        <v>0</v>
      </c>
      <c r="AB11" s="78">
        <v>0</v>
      </c>
      <c r="AC11" s="90">
        <v>3</v>
      </c>
      <c r="AD11" s="91">
        <f t="shared" si="12"/>
        <v>0.87749999999999995</v>
      </c>
      <c r="AE11" s="101" t="s">
        <v>38</v>
      </c>
      <c r="AF11" s="101" t="s">
        <v>38</v>
      </c>
      <c r="AG11" s="101" t="s">
        <v>38</v>
      </c>
      <c r="AH11" s="101" t="s">
        <v>38</v>
      </c>
      <c r="AI11" s="101" t="s">
        <v>38</v>
      </c>
      <c r="AJ11" s="93" t="s">
        <v>38</v>
      </c>
      <c r="AK11" s="93" t="s">
        <v>38</v>
      </c>
      <c r="AL11" s="93" t="s">
        <v>38</v>
      </c>
      <c r="AM11" s="93" t="s">
        <v>38</v>
      </c>
      <c r="AN11" s="93" t="s">
        <v>38</v>
      </c>
      <c r="AO11" s="94" t="s">
        <v>129</v>
      </c>
      <c r="AP11" s="63"/>
    </row>
    <row r="12" spans="1:42" s="10" customFormat="1" ht="21.95" customHeight="1" x14ac:dyDescent="0.2">
      <c r="A12" s="348"/>
      <c r="B12" s="262" t="s">
        <v>21</v>
      </c>
      <c r="C12" s="105" t="s">
        <v>38</v>
      </c>
      <c r="D12" s="105" t="s">
        <v>38</v>
      </c>
      <c r="E12" s="105">
        <v>2</v>
      </c>
      <c r="F12" s="105">
        <v>1</v>
      </c>
      <c r="G12" s="106" t="s">
        <v>38</v>
      </c>
      <c r="H12" s="76" t="s">
        <v>38</v>
      </c>
      <c r="I12" s="76">
        <v>1</v>
      </c>
      <c r="J12" s="76">
        <v>4</v>
      </c>
      <c r="K12" s="108">
        <f t="shared" si="2"/>
        <v>8</v>
      </c>
      <c r="L12" s="79">
        <v>0</v>
      </c>
      <c r="M12" s="80">
        <f t="shared" si="3"/>
        <v>8</v>
      </c>
      <c r="N12" s="98">
        <v>0</v>
      </c>
      <c r="O12" s="98">
        <v>70.361111111111114</v>
      </c>
      <c r="P12" s="82">
        <f t="shared" si="4"/>
        <v>70.361111111111114</v>
      </c>
      <c r="Q12" s="83">
        <f t="shared" si="5"/>
        <v>2.3453703703703703</v>
      </c>
      <c r="R12" s="84">
        <f t="shared" si="6"/>
        <v>73.879166666666663</v>
      </c>
      <c r="S12" s="83">
        <f t="shared" si="7"/>
        <v>2.4626388888888888</v>
      </c>
      <c r="T12" s="103">
        <v>194</v>
      </c>
      <c r="U12" s="85">
        <v>0</v>
      </c>
      <c r="V12" s="78">
        <f t="shared" si="8"/>
        <v>194</v>
      </c>
      <c r="W12" s="78">
        <f t="shared" si="13"/>
        <v>97</v>
      </c>
      <c r="X12" s="87">
        <f t="shared" si="15"/>
        <v>5.5428571428571427</v>
      </c>
      <c r="Y12" s="88">
        <f t="shared" si="14"/>
        <v>6.9285714285714288</v>
      </c>
      <c r="Z12" s="100">
        <f t="shared" si="9"/>
        <v>-5.6546296296296301</v>
      </c>
      <c r="AA12" s="100">
        <f t="shared" si="10"/>
        <v>-2.4571428571428573</v>
      </c>
      <c r="AB12" s="100">
        <f t="shared" si="11"/>
        <v>-1.0714285714285712</v>
      </c>
      <c r="AC12" s="90">
        <v>5</v>
      </c>
      <c r="AD12" s="91">
        <f t="shared" si="12"/>
        <v>2.3453703703703703</v>
      </c>
      <c r="AE12" s="101" t="s">
        <v>38</v>
      </c>
      <c r="AF12" s="101">
        <v>1</v>
      </c>
      <c r="AG12" s="101">
        <v>1</v>
      </c>
      <c r="AH12" s="101" t="s">
        <v>38</v>
      </c>
      <c r="AI12" s="101" t="s">
        <v>38</v>
      </c>
      <c r="AJ12" s="93" t="s">
        <v>38</v>
      </c>
      <c r="AK12" s="93" t="s">
        <v>38</v>
      </c>
      <c r="AL12" s="93" t="s">
        <v>38</v>
      </c>
      <c r="AM12" s="93" t="s">
        <v>38</v>
      </c>
      <c r="AN12" s="93" t="s">
        <v>38</v>
      </c>
      <c r="AO12" s="94" t="s">
        <v>130</v>
      </c>
      <c r="AP12" s="63"/>
    </row>
    <row r="13" spans="1:42" s="7" customFormat="1" ht="21.95" customHeight="1" x14ac:dyDescent="0.2">
      <c r="A13" s="348" t="s">
        <v>49</v>
      </c>
      <c r="B13" s="263" t="s">
        <v>19</v>
      </c>
      <c r="C13" s="75" t="s">
        <v>38</v>
      </c>
      <c r="D13" s="75" t="s">
        <v>38</v>
      </c>
      <c r="E13" s="75">
        <v>1</v>
      </c>
      <c r="F13" s="75" t="s">
        <v>38</v>
      </c>
      <c r="G13" s="76" t="s">
        <v>38</v>
      </c>
      <c r="H13" s="76" t="s">
        <v>38</v>
      </c>
      <c r="I13" s="76">
        <v>2</v>
      </c>
      <c r="J13" s="76" t="s">
        <v>38</v>
      </c>
      <c r="K13" s="108">
        <f t="shared" si="2"/>
        <v>3</v>
      </c>
      <c r="L13" s="79">
        <v>0</v>
      </c>
      <c r="M13" s="80">
        <f t="shared" si="3"/>
        <v>3</v>
      </c>
      <c r="N13" s="81">
        <v>0</v>
      </c>
      <c r="O13" s="81">
        <f>8.33333333333333*1.8</f>
        <v>14.999999999999995</v>
      </c>
      <c r="P13" s="82">
        <f t="shared" si="4"/>
        <v>14.999999999999995</v>
      </c>
      <c r="Q13" s="83">
        <f t="shared" si="5"/>
        <v>0.49999999999999983</v>
      </c>
      <c r="R13" s="84">
        <f t="shared" si="6"/>
        <v>15.749999999999995</v>
      </c>
      <c r="S13" s="83">
        <f t="shared" si="7"/>
        <v>0.5249999999999998</v>
      </c>
      <c r="T13" s="109">
        <v>0</v>
      </c>
      <c r="U13" s="86">
        <v>8</v>
      </c>
      <c r="V13" s="78">
        <f>SUM(U13:U13)</f>
        <v>8</v>
      </c>
      <c r="W13" s="78">
        <f t="shared" si="13"/>
        <v>4</v>
      </c>
      <c r="X13" s="87">
        <f t="shared" si="15"/>
        <v>0.22857142857142856</v>
      </c>
      <c r="Y13" s="88">
        <f t="shared" si="14"/>
        <v>0.2857142857142857</v>
      </c>
      <c r="Z13" s="89">
        <f t="shared" si="9"/>
        <v>-2.5</v>
      </c>
      <c r="AA13" s="89">
        <f t="shared" si="10"/>
        <v>-2.7714285714285714</v>
      </c>
      <c r="AB13" s="89">
        <f t="shared" si="11"/>
        <v>-2.7142857142857144</v>
      </c>
      <c r="AC13" s="90">
        <v>3</v>
      </c>
      <c r="AD13" s="91">
        <f t="shared" si="12"/>
        <v>0.49999999999999983</v>
      </c>
      <c r="AE13" s="92" t="s">
        <v>38</v>
      </c>
      <c r="AF13" s="92" t="s">
        <v>38</v>
      </c>
      <c r="AG13" s="92">
        <v>1</v>
      </c>
      <c r="AH13" s="92" t="s">
        <v>38</v>
      </c>
      <c r="AI13" s="92" t="s">
        <v>38</v>
      </c>
      <c r="AJ13" s="93" t="s">
        <v>38</v>
      </c>
      <c r="AK13" s="93" t="s">
        <v>38</v>
      </c>
      <c r="AL13" s="93" t="s">
        <v>38</v>
      </c>
      <c r="AM13" s="93" t="s">
        <v>38</v>
      </c>
      <c r="AN13" s="93" t="s">
        <v>38</v>
      </c>
      <c r="AO13" s="94" t="s">
        <v>131</v>
      </c>
      <c r="AP13" s="95"/>
    </row>
    <row r="14" spans="1:42" s="10" customFormat="1" ht="21.95" customHeight="1" x14ac:dyDescent="0.2">
      <c r="A14" s="348"/>
      <c r="B14" s="262" t="s">
        <v>21</v>
      </c>
      <c r="C14" s="75" t="s">
        <v>38</v>
      </c>
      <c r="D14" s="75" t="s">
        <v>38</v>
      </c>
      <c r="E14" s="75" t="s">
        <v>38</v>
      </c>
      <c r="F14" s="75" t="s">
        <v>38</v>
      </c>
      <c r="G14" s="76" t="s">
        <v>38</v>
      </c>
      <c r="H14" s="76" t="s">
        <v>38</v>
      </c>
      <c r="I14" s="76">
        <v>2</v>
      </c>
      <c r="J14" s="76">
        <v>4</v>
      </c>
      <c r="K14" s="108">
        <f t="shared" si="2"/>
        <v>6</v>
      </c>
      <c r="L14" s="79">
        <v>0</v>
      </c>
      <c r="M14" s="80">
        <f t="shared" si="3"/>
        <v>6</v>
      </c>
      <c r="N14" s="98">
        <v>93.472222222222229</v>
      </c>
      <c r="O14" s="98">
        <v>0</v>
      </c>
      <c r="P14" s="82">
        <f t="shared" si="4"/>
        <v>93.472222222222229</v>
      </c>
      <c r="Q14" s="83">
        <f t="shared" si="5"/>
        <v>3.1157407407407409</v>
      </c>
      <c r="R14" s="84">
        <f t="shared" si="6"/>
        <v>98.145833333333343</v>
      </c>
      <c r="S14" s="83">
        <f t="shared" si="7"/>
        <v>3.271527777777778</v>
      </c>
      <c r="T14" s="103">
        <v>271</v>
      </c>
      <c r="U14" s="85">
        <v>0</v>
      </c>
      <c r="V14" s="78">
        <f>SUM(T14:U14)</f>
        <v>271</v>
      </c>
      <c r="W14" s="78">
        <f t="shared" si="13"/>
        <v>135.5</v>
      </c>
      <c r="X14" s="87">
        <f t="shared" si="15"/>
        <v>7.7428571428571429</v>
      </c>
      <c r="Y14" s="88">
        <f t="shared" si="14"/>
        <v>9.6785714285714288</v>
      </c>
      <c r="Z14" s="100">
        <f t="shared" si="9"/>
        <v>-2.8842592592592591</v>
      </c>
      <c r="AA14" s="100">
        <f t="shared" si="10"/>
        <v>1.7428571428571429</v>
      </c>
      <c r="AB14" s="100">
        <f t="shared" si="11"/>
        <v>3.6785714285714288</v>
      </c>
      <c r="AC14" s="90">
        <v>5</v>
      </c>
      <c r="AD14" s="91">
        <f t="shared" si="12"/>
        <v>3.1157407407407409</v>
      </c>
      <c r="AE14" s="101" t="s">
        <v>38</v>
      </c>
      <c r="AF14" s="101" t="s">
        <v>38</v>
      </c>
      <c r="AG14" s="101" t="s">
        <v>38</v>
      </c>
      <c r="AH14" s="101" t="s">
        <v>38</v>
      </c>
      <c r="AI14" s="101" t="s">
        <v>38</v>
      </c>
      <c r="AJ14" s="93" t="s">
        <v>38</v>
      </c>
      <c r="AK14" s="93" t="s">
        <v>38</v>
      </c>
      <c r="AL14" s="93" t="s">
        <v>38</v>
      </c>
      <c r="AM14" s="93" t="s">
        <v>38</v>
      </c>
      <c r="AN14" s="93" t="s">
        <v>38</v>
      </c>
      <c r="AO14" s="94" t="s">
        <v>132</v>
      </c>
      <c r="AP14" s="63"/>
    </row>
    <row r="15" spans="1:42" s="7" customFormat="1" ht="21.95" customHeight="1" x14ac:dyDescent="0.2">
      <c r="A15" s="348" t="s">
        <v>50</v>
      </c>
      <c r="B15" s="263" t="s">
        <v>18</v>
      </c>
      <c r="C15" s="75" t="s">
        <v>38</v>
      </c>
      <c r="D15" s="75" t="s">
        <v>38</v>
      </c>
      <c r="E15" s="75">
        <v>1</v>
      </c>
      <c r="F15" s="75" t="s">
        <v>38</v>
      </c>
      <c r="G15" s="76" t="s">
        <v>38</v>
      </c>
      <c r="H15" s="76" t="s">
        <v>38</v>
      </c>
      <c r="I15" s="76" t="s">
        <v>38</v>
      </c>
      <c r="J15" s="76">
        <v>1</v>
      </c>
      <c r="K15" s="108">
        <f t="shared" si="2"/>
        <v>2</v>
      </c>
      <c r="L15" s="79">
        <v>0</v>
      </c>
      <c r="M15" s="80">
        <f t="shared" si="3"/>
        <v>2</v>
      </c>
      <c r="N15" s="81">
        <v>0</v>
      </c>
      <c r="O15" s="81">
        <f>31*1.8</f>
        <v>55.800000000000004</v>
      </c>
      <c r="P15" s="82">
        <f t="shared" si="4"/>
        <v>55.800000000000004</v>
      </c>
      <c r="Q15" s="83">
        <f t="shared" si="5"/>
        <v>1.86</v>
      </c>
      <c r="R15" s="84">
        <f t="shared" si="6"/>
        <v>58.59</v>
      </c>
      <c r="S15" s="83">
        <f t="shared" si="7"/>
        <v>1.9530000000000001</v>
      </c>
      <c r="T15" s="110"/>
      <c r="U15" s="86">
        <f>40</f>
        <v>40</v>
      </c>
      <c r="V15" s="85">
        <f>SUM(T15:U15)</f>
        <v>40</v>
      </c>
      <c r="W15" s="78">
        <f t="shared" si="13"/>
        <v>20</v>
      </c>
      <c r="X15" s="87">
        <f t="shared" si="15"/>
        <v>1.1428571428571428</v>
      </c>
      <c r="Y15" s="88">
        <f t="shared" si="14"/>
        <v>1.4285714285714286</v>
      </c>
      <c r="Z15" s="89">
        <f t="shared" si="9"/>
        <v>-0.1399999999999999</v>
      </c>
      <c r="AA15" s="89">
        <f t="shared" si="10"/>
        <v>-0.85714285714285721</v>
      </c>
      <c r="AB15" s="89">
        <f t="shared" si="11"/>
        <v>-0.5714285714285714</v>
      </c>
      <c r="AC15" s="90">
        <v>3</v>
      </c>
      <c r="AD15" s="91">
        <f t="shared" si="12"/>
        <v>1.86</v>
      </c>
      <c r="AE15" s="92">
        <v>1</v>
      </c>
      <c r="AF15" s="92" t="s">
        <v>38</v>
      </c>
      <c r="AG15" s="92" t="s">
        <v>38</v>
      </c>
      <c r="AH15" s="92" t="s">
        <v>38</v>
      </c>
      <c r="AI15" s="92" t="s">
        <v>38</v>
      </c>
      <c r="AJ15" s="93" t="s">
        <v>38</v>
      </c>
      <c r="AK15" s="93" t="s">
        <v>38</v>
      </c>
      <c r="AL15" s="93" t="s">
        <v>38</v>
      </c>
      <c r="AM15" s="93" t="s">
        <v>38</v>
      </c>
      <c r="AN15" s="93" t="s">
        <v>38</v>
      </c>
      <c r="AO15" s="94" t="s">
        <v>132</v>
      </c>
      <c r="AP15" s="95"/>
    </row>
    <row r="16" spans="1:42" s="10" customFormat="1" ht="21.95" customHeight="1" x14ac:dyDescent="0.2">
      <c r="A16" s="348"/>
      <c r="B16" s="262" t="s">
        <v>19</v>
      </c>
      <c r="C16" s="75" t="s">
        <v>38</v>
      </c>
      <c r="D16" s="75">
        <v>1</v>
      </c>
      <c r="E16" s="75">
        <v>2</v>
      </c>
      <c r="F16" s="75" t="s">
        <v>38</v>
      </c>
      <c r="G16" s="76" t="s">
        <v>38</v>
      </c>
      <c r="H16" s="76" t="s">
        <v>38</v>
      </c>
      <c r="I16" s="76">
        <v>1</v>
      </c>
      <c r="J16" s="76" t="s">
        <v>38</v>
      </c>
      <c r="K16" s="108">
        <f t="shared" si="2"/>
        <v>4</v>
      </c>
      <c r="L16" s="79">
        <v>0</v>
      </c>
      <c r="M16" s="80">
        <f t="shared" si="3"/>
        <v>4</v>
      </c>
      <c r="N16" s="98">
        <v>0</v>
      </c>
      <c r="O16" s="98">
        <f>54.4166666666667*1.8</f>
        <v>97.95000000000006</v>
      </c>
      <c r="P16" s="82">
        <f t="shared" si="4"/>
        <v>97.95000000000006</v>
      </c>
      <c r="Q16" s="83">
        <f t="shared" si="5"/>
        <v>3.2650000000000019</v>
      </c>
      <c r="R16" s="84">
        <f t="shared" si="6"/>
        <v>102.84750000000007</v>
      </c>
      <c r="S16" s="83">
        <f t="shared" si="7"/>
        <v>3.4282500000000025</v>
      </c>
      <c r="T16" s="111">
        <f>38+228</f>
        <v>266</v>
      </c>
      <c r="U16" s="86">
        <f>42</f>
        <v>42</v>
      </c>
      <c r="V16" s="85">
        <f>SUM(T16:U16)</f>
        <v>308</v>
      </c>
      <c r="W16" s="78">
        <f t="shared" si="13"/>
        <v>154</v>
      </c>
      <c r="X16" s="87">
        <f t="shared" si="15"/>
        <v>8.8000000000000007</v>
      </c>
      <c r="Y16" s="88">
        <f t="shared" si="14"/>
        <v>11</v>
      </c>
      <c r="Z16" s="100">
        <f t="shared" si="9"/>
        <v>-0.7349999999999981</v>
      </c>
      <c r="AA16" s="100">
        <f t="shared" si="10"/>
        <v>4.8000000000000007</v>
      </c>
      <c r="AB16" s="100">
        <f t="shared" si="11"/>
        <v>7</v>
      </c>
      <c r="AC16" s="90">
        <v>3</v>
      </c>
      <c r="AD16" s="91">
        <f t="shared" si="12"/>
        <v>3.2650000000000019</v>
      </c>
      <c r="AE16" s="101" t="s">
        <v>38</v>
      </c>
      <c r="AF16" s="101" t="s">
        <v>38</v>
      </c>
      <c r="AG16" s="101" t="s">
        <v>38</v>
      </c>
      <c r="AH16" s="101" t="s">
        <v>38</v>
      </c>
      <c r="AI16" s="101" t="s">
        <v>38</v>
      </c>
      <c r="AJ16" s="93" t="s">
        <v>38</v>
      </c>
      <c r="AK16" s="93" t="s">
        <v>38</v>
      </c>
      <c r="AL16" s="93" t="s">
        <v>38</v>
      </c>
      <c r="AM16" s="93" t="s">
        <v>38</v>
      </c>
      <c r="AN16" s="93" t="s">
        <v>38</v>
      </c>
      <c r="AO16" s="94" t="s">
        <v>132</v>
      </c>
      <c r="AP16" s="63"/>
    </row>
    <row r="17" spans="1:42" s="7" customFormat="1" ht="21.95" customHeight="1" x14ac:dyDescent="0.2">
      <c r="A17" s="73" t="s">
        <v>51</v>
      </c>
      <c r="B17" s="263" t="s">
        <v>21</v>
      </c>
      <c r="C17" s="75" t="s">
        <v>38</v>
      </c>
      <c r="D17" s="75" t="s">
        <v>38</v>
      </c>
      <c r="E17" s="75">
        <v>1</v>
      </c>
      <c r="F17" s="75" t="s">
        <v>38</v>
      </c>
      <c r="G17" s="76" t="s">
        <v>38</v>
      </c>
      <c r="H17" s="76" t="s">
        <v>38</v>
      </c>
      <c r="I17" s="76">
        <v>2</v>
      </c>
      <c r="J17" s="77">
        <v>4</v>
      </c>
      <c r="K17" s="78">
        <f t="shared" si="2"/>
        <v>7</v>
      </c>
      <c r="L17" s="79">
        <v>0</v>
      </c>
      <c r="M17" s="80">
        <f t="shared" si="3"/>
        <v>7</v>
      </c>
      <c r="N17" s="98">
        <v>224.63888888888889</v>
      </c>
      <c r="O17" s="98">
        <v>0</v>
      </c>
      <c r="P17" s="82">
        <f t="shared" si="4"/>
        <v>224.63888888888889</v>
      </c>
      <c r="Q17" s="83">
        <f t="shared" si="5"/>
        <v>7.4879629629629632</v>
      </c>
      <c r="R17" s="84">
        <f t="shared" si="6"/>
        <v>235.87083333333334</v>
      </c>
      <c r="S17" s="83">
        <f t="shared" si="7"/>
        <v>7.8623611111111114</v>
      </c>
      <c r="T17" s="103">
        <f>238+112</f>
        <v>350</v>
      </c>
      <c r="U17" s="85">
        <v>0</v>
      </c>
      <c r="V17" s="78">
        <f>SUM(T17:U17)</f>
        <v>350</v>
      </c>
      <c r="W17" s="78">
        <f t="shared" si="13"/>
        <v>175</v>
      </c>
      <c r="X17" s="87">
        <f t="shared" si="15"/>
        <v>10</v>
      </c>
      <c r="Y17" s="88">
        <f t="shared" si="14"/>
        <v>12.5</v>
      </c>
      <c r="Z17" s="89">
        <f t="shared" si="9"/>
        <v>0.48796296296296315</v>
      </c>
      <c r="AA17" s="89">
        <f t="shared" si="10"/>
        <v>3</v>
      </c>
      <c r="AB17" s="89">
        <f t="shared" si="11"/>
        <v>5.5</v>
      </c>
      <c r="AC17" s="90">
        <v>5</v>
      </c>
      <c r="AD17" s="91">
        <f t="shared" si="12"/>
        <v>7.4879629629629632</v>
      </c>
      <c r="AE17" s="92" t="s">
        <v>38</v>
      </c>
      <c r="AF17" s="92" t="s">
        <v>38</v>
      </c>
      <c r="AG17" s="92" t="s">
        <v>38</v>
      </c>
      <c r="AH17" s="92" t="s">
        <v>38</v>
      </c>
      <c r="AI17" s="92" t="s">
        <v>38</v>
      </c>
      <c r="AJ17" s="93" t="s">
        <v>38</v>
      </c>
      <c r="AK17" s="93" t="s">
        <v>38</v>
      </c>
      <c r="AL17" s="93" t="s">
        <v>38</v>
      </c>
      <c r="AM17" s="93" t="s">
        <v>38</v>
      </c>
      <c r="AN17" s="93" t="s">
        <v>38</v>
      </c>
      <c r="AO17" s="94" t="s">
        <v>132</v>
      </c>
      <c r="AP17" s="95"/>
    </row>
    <row r="18" spans="1:42" s="10" customFormat="1" ht="21.95" customHeight="1" x14ac:dyDescent="0.2">
      <c r="A18" s="112" t="s">
        <v>52</v>
      </c>
      <c r="B18" s="262" t="s">
        <v>19</v>
      </c>
      <c r="C18" s="96" t="s">
        <v>38</v>
      </c>
      <c r="D18" s="96">
        <v>1</v>
      </c>
      <c r="E18" s="96">
        <v>4</v>
      </c>
      <c r="F18" s="96" t="s">
        <v>38</v>
      </c>
      <c r="G18" s="97" t="s">
        <v>38</v>
      </c>
      <c r="H18" s="97" t="s">
        <v>38</v>
      </c>
      <c r="I18" s="97">
        <v>1</v>
      </c>
      <c r="J18" s="97">
        <v>2</v>
      </c>
      <c r="K18" s="78">
        <f t="shared" si="2"/>
        <v>8</v>
      </c>
      <c r="L18" s="79">
        <v>0</v>
      </c>
      <c r="M18" s="80">
        <f t="shared" si="3"/>
        <v>8</v>
      </c>
      <c r="N18" s="98">
        <v>0</v>
      </c>
      <c r="O18" s="98">
        <f>10.875*1.8</f>
        <v>19.574999999999999</v>
      </c>
      <c r="P18" s="82">
        <f t="shared" si="4"/>
        <v>19.574999999999999</v>
      </c>
      <c r="Q18" s="83">
        <f t="shared" si="5"/>
        <v>0.65249999999999997</v>
      </c>
      <c r="R18" s="84">
        <f t="shared" si="6"/>
        <v>20.553750000000001</v>
      </c>
      <c r="S18" s="83">
        <f t="shared" si="7"/>
        <v>0.68512499999999998</v>
      </c>
      <c r="T18" s="111">
        <v>104</v>
      </c>
      <c r="U18" s="85">
        <v>6</v>
      </c>
      <c r="V18" s="78">
        <f>SUM(T18:U18)</f>
        <v>110</v>
      </c>
      <c r="W18" s="78">
        <f t="shared" si="13"/>
        <v>55</v>
      </c>
      <c r="X18" s="87">
        <f t="shared" si="15"/>
        <v>3.1428571428571428</v>
      </c>
      <c r="Y18" s="88">
        <f t="shared" si="14"/>
        <v>3.9285714285714284</v>
      </c>
      <c r="Z18" s="100">
        <f t="shared" si="9"/>
        <v>-7.3475000000000001</v>
      </c>
      <c r="AA18" s="100">
        <f t="shared" si="10"/>
        <v>-4.8571428571428577</v>
      </c>
      <c r="AB18" s="100">
        <f t="shared" si="11"/>
        <v>-4.0714285714285712</v>
      </c>
      <c r="AC18" s="90">
        <v>3</v>
      </c>
      <c r="AD18" s="91">
        <f t="shared" si="12"/>
        <v>0.65249999999999997</v>
      </c>
      <c r="AE18" s="101" t="s">
        <v>38</v>
      </c>
      <c r="AF18" s="101" t="s">
        <v>38</v>
      </c>
      <c r="AG18" s="101" t="s">
        <v>38</v>
      </c>
      <c r="AH18" s="101" t="s">
        <v>38</v>
      </c>
      <c r="AI18" s="101" t="s">
        <v>38</v>
      </c>
      <c r="AJ18" s="93" t="s">
        <v>38</v>
      </c>
      <c r="AK18" s="93" t="s">
        <v>38</v>
      </c>
      <c r="AL18" s="93" t="s">
        <v>38</v>
      </c>
      <c r="AM18" s="93" t="s">
        <v>38</v>
      </c>
      <c r="AN18" s="93" t="s">
        <v>38</v>
      </c>
      <c r="AO18" s="94"/>
      <c r="AP18" s="63"/>
    </row>
    <row r="19" spans="1:42" s="10" customFormat="1" ht="21.95" customHeight="1" x14ac:dyDescent="0.2">
      <c r="A19" s="112" t="s">
        <v>53</v>
      </c>
      <c r="B19" s="262"/>
      <c r="C19" s="96" t="s">
        <v>38</v>
      </c>
      <c r="D19" s="96" t="s">
        <v>38</v>
      </c>
      <c r="E19" s="96" t="s">
        <v>38</v>
      </c>
      <c r="F19" s="96" t="s">
        <v>38</v>
      </c>
      <c r="G19" s="97" t="s">
        <v>38</v>
      </c>
      <c r="H19" s="97" t="s">
        <v>38</v>
      </c>
      <c r="I19" s="97" t="s">
        <v>38</v>
      </c>
      <c r="J19" s="97" t="s">
        <v>38</v>
      </c>
      <c r="K19" s="78"/>
      <c r="L19" s="79">
        <v>0</v>
      </c>
      <c r="M19" s="80">
        <f t="shared" si="3"/>
        <v>0</v>
      </c>
      <c r="N19" s="98"/>
      <c r="O19" s="98" t="s">
        <v>38</v>
      </c>
      <c r="P19" s="82">
        <f t="shared" si="4"/>
        <v>0</v>
      </c>
      <c r="Q19" s="113" t="s">
        <v>38</v>
      </c>
      <c r="R19" s="114" t="s">
        <v>38</v>
      </c>
      <c r="S19" s="113" t="s">
        <v>38</v>
      </c>
      <c r="T19" s="115" t="s">
        <v>38</v>
      </c>
      <c r="U19" s="115" t="s">
        <v>38</v>
      </c>
      <c r="V19" s="115" t="s">
        <v>38</v>
      </c>
      <c r="W19" s="115" t="s">
        <v>38</v>
      </c>
      <c r="X19" s="116" t="s">
        <v>38</v>
      </c>
      <c r="Y19" s="117" t="s">
        <v>38</v>
      </c>
      <c r="Z19" s="118" t="s">
        <v>38</v>
      </c>
      <c r="AA19" s="118" t="s">
        <v>38</v>
      </c>
      <c r="AB19" s="118" t="s">
        <v>38</v>
      </c>
      <c r="AC19" s="90" t="s">
        <v>38</v>
      </c>
      <c r="AD19" s="119" t="s">
        <v>38</v>
      </c>
      <c r="AE19" s="120" t="s">
        <v>38</v>
      </c>
      <c r="AF19" s="120" t="s">
        <v>38</v>
      </c>
      <c r="AG19" s="120" t="s">
        <v>38</v>
      </c>
      <c r="AH19" s="120" t="s">
        <v>38</v>
      </c>
      <c r="AI19" s="120" t="s">
        <v>38</v>
      </c>
      <c r="AJ19" s="121" t="s">
        <v>38</v>
      </c>
      <c r="AK19" s="121" t="s">
        <v>38</v>
      </c>
      <c r="AL19" s="121" t="s">
        <v>38</v>
      </c>
      <c r="AM19" s="121" t="s">
        <v>38</v>
      </c>
      <c r="AN19" s="121" t="s">
        <v>38</v>
      </c>
      <c r="AO19" s="94"/>
      <c r="AP19" s="63"/>
    </row>
    <row r="20" spans="1:42" s="9" customFormat="1" ht="21.95" customHeight="1" x14ac:dyDescent="0.2">
      <c r="A20" s="64" t="s">
        <v>54</v>
      </c>
      <c r="B20" s="264"/>
      <c r="C20" s="122">
        <f>SUM(C21:C45)</f>
        <v>0</v>
      </c>
      <c r="D20" s="122">
        <f t="shared" ref="D20:R20" si="16">SUM(D21:D45)</f>
        <v>2</v>
      </c>
      <c r="E20" s="122">
        <f t="shared" si="16"/>
        <v>15</v>
      </c>
      <c r="F20" s="122">
        <f t="shared" si="16"/>
        <v>5</v>
      </c>
      <c r="G20" s="122">
        <f t="shared" si="16"/>
        <v>0</v>
      </c>
      <c r="H20" s="122">
        <f t="shared" si="16"/>
        <v>0</v>
      </c>
      <c r="I20" s="122">
        <f t="shared" si="16"/>
        <v>48</v>
      </c>
      <c r="J20" s="122">
        <f t="shared" si="16"/>
        <v>85</v>
      </c>
      <c r="K20" s="122">
        <f t="shared" si="16"/>
        <v>155</v>
      </c>
      <c r="L20" s="122">
        <f t="shared" si="16"/>
        <v>3</v>
      </c>
      <c r="M20" s="122">
        <f t="shared" si="16"/>
        <v>152</v>
      </c>
      <c r="N20" s="235">
        <f t="shared" si="16"/>
        <v>3730.6550000000002</v>
      </c>
      <c r="O20" s="122">
        <f t="shared" si="16"/>
        <v>90</v>
      </c>
      <c r="P20" s="235">
        <f t="shared" si="16"/>
        <v>3820.6550000000002</v>
      </c>
      <c r="Q20" s="122">
        <f t="shared" si="16"/>
        <v>159.24203518518522</v>
      </c>
      <c r="R20" s="235">
        <f t="shared" si="16"/>
        <v>4011.6877500000005</v>
      </c>
      <c r="S20" s="122">
        <f t="shared" ref="S20:AO20" si="17">SUM(S21:S45)</f>
        <v>167.2041369444444</v>
      </c>
      <c r="T20" s="122">
        <f t="shared" si="17"/>
        <v>5357</v>
      </c>
      <c r="U20" s="122">
        <f t="shared" si="17"/>
        <v>155</v>
      </c>
      <c r="V20" s="122">
        <f t="shared" si="17"/>
        <v>5512</v>
      </c>
      <c r="W20" s="122">
        <f t="shared" si="17"/>
        <v>2756</v>
      </c>
      <c r="X20" s="122">
        <f t="shared" si="17"/>
        <v>157.48571428571429</v>
      </c>
      <c r="Y20" s="122">
        <f t="shared" si="17"/>
        <v>196.85714285714289</v>
      </c>
      <c r="Z20" s="122">
        <f t="shared" si="17"/>
        <v>9.2420351851851823</v>
      </c>
      <c r="AA20" s="122">
        <f t="shared" si="17"/>
        <v>7.485714285714284</v>
      </c>
      <c r="AB20" s="122">
        <f t="shared" si="17"/>
        <v>46.857142857142854</v>
      </c>
      <c r="AC20" s="122">
        <f t="shared" si="17"/>
        <v>112</v>
      </c>
      <c r="AD20" s="122">
        <f t="shared" si="17"/>
        <v>23.072870370370371</v>
      </c>
      <c r="AE20" s="122">
        <f t="shared" si="17"/>
        <v>3</v>
      </c>
      <c r="AF20" s="122">
        <f t="shared" si="17"/>
        <v>2</v>
      </c>
      <c r="AG20" s="122">
        <f t="shared" si="17"/>
        <v>2</v>
      </c>
      <c r="AH20" s="122">
        <f t="shared" si="17"/>
        <v>2</v>
      </c>
      <c r="AI20" s="122">
        <f t="shared" si="17"/>
        <v>5</v>
      </c>
      <c r="AJ20" s="122">
        <f t="shared" si="17"/>
        <v>0</v>
      </c>
      <c r="AK20" s="122">
        <f t="shared" si="17"/>
        <v>2</v>
      </c>
      <c r="AL20" s="122">
        <f t="shared" si="17"/>
        <v>0</v>
      </c>
      <c r="AM20" s="122">
        <f t="shared" si="17"/>
        <v>0</v>
      </c>
      <c r="AN20" s="122">
        <f t="shared" si="17"/>
        <v>0</v>
      </c>
      <c r="AO20" s="122">
        <f t="shared" si="17"/>
        <v>0</v>
      </c>
      <c r="AP20" s="72"/>
    </row>
    <row r="21" spans="1:42" s="7" customFormat="1" ht="21.95" customHeight="1" x14ac:dyDescent="0.2">
      <c r="A21" s="123" t="s">
        <v>55</v>
      </c>
      <c r="B21" s="263" t="s">
        <v>21</v>
      </c>
      <c r="C21" s="96" t="s">
        <v>38</v>
      </c>
      <c r="D21" s="96" t="s">
        <v>38</v>
      </c>
      <c r="E21" s="96" t="s">
        <v>38</v>
      </c>
      <c r="F21" s="96" t="s">
        <v>38</v>
      </c>
      <c r="G21" s="97" t="s">
        <v>38</v>
      </c>
      <c r="H21" s="97" t="s">
        <v>38</v>
      </c>
      <c r="I21" s="97">
        <v>3</v>
      </c>
      <c r="J21" s="97">
        <v>4</v>
      </c>
      <c r="K21" s="78">
        <f t="shared" ref="K21:K44" si="18">SUM(D21:J21)</f>
        <v>7</v>
      </c>
      <c r="L21" s="79">
        <v>0</v>
      </c>
      <c r="M21" s="124">
        <f t="shared" ref="M21:M44" si="19">K21-L21</f>
        <v>7</v>
      </c>
      <c r="N21" s="81">
        <v>122.47222222222223</v>
      </c>
      <c r="O21" s="81">
        <v>0</v>
      </c>
      <c r="P21" s="82">
        <f>SUM(N21:N21)</f>
        <v>122.47222222222223</v>
      </c>
      <c r="Q21" s="83">
        <f>P21/30</f>
        <v>4.0824074074074073</v>
      </c>
      <c r="R21" s="84">
        <f t="shared" ref="R21:R51" si="20">(P21*0.05)+P21</f>
        <v>128.59583333333333</v>
      </c>
      <c r="S21" s="83">
        <f>R21/30</f>
        <v>4.2865277777777777</v>
      </c>
      <c r="T21" s="125">
        <v>516</v>
      </c>
      <c r="U21" s="85">
        <v>0</v>
      </c>
      <c r="V21" s="126">
        <f t="shared" ref="V21:V29" si="21">SUM(T21:U21)</f>
        <v>516</v>
      </c>
      <c r="W21" s="78">
        <f t="shared" si="13"/>
        <v>258</v>
      </c>
      <c r="X21" s="87">
        <f t="shared" ref="X21:X73" si="22">V21/35</f>
        <v>14.742857142857142</v>
      </c>
      <c r="Y21" s="88">
        <f t="shared" si="14"/>
        <v>18.428571428571427</v>
      </c>
      <c r="Z21" s="89">
        <f t="shared" ref="Z21:Z33" si="23">Q21-M21</f>
        <v>-2.9175925925925927</v>
      </c>
      <c r="AA21" s="89">
        <f t="shared" ref="AA21:AA33" si="24">X21-M21</f>
        <v>7.742857142857142</v>
      </c>
      <c r="AB21" s="89">
        <f t="shared" si="11"/>
        <v>11.428571428571427</v>
      </c>
      <c r="AC21" s="90">
        <v>5</v>
      </c>
      <c r="AD21" s="91">
        <f>P21/30</f>
        <v>4.0824074074074073</v>
      </c>
      <c r="AE21" s="92" t="s">
        <v>38</v>
      </c>
      <c r="AF21" s="92" t="s">
        <v>38</v>
      </c>
      <c r="AG21" s="92" t="s">
        <v>38</v>
      </c>
      <c r="AH21" s="92" t="s">
        <v>38</v>
      </c>
      <c r="AI21" s="92" t="s">
        <v>38</v>
      </c>
      <c r="AJ21" s="93" t="s">
        <v>38</v>
      </c>
      <c r="AK21" s="93" t="s">
        <v>38</v>
      </c>
      <c r="AL21" s="93" t="s">
        <v>38</v>
      </c>
      <c r="AM21" s="93" t="s">
        <v>38</v>
      </c>
      <c r="AN21" s="93" t="s">
        <v>38</v>
      </c>
      <c r="AO21" s="94"/>
      <c r="AP21" s="95"/>
    </row>
    <row r="22" spans="1:42" s="7" customFormat="1" ht="21.95" customHeight="1" x14ac:dyDescent="0.2">
      <c r="A22" s="127" t="s">
        <v>56</v>
      </c>
      <c r="B22" s="263" t="s">
        <v>22</v>
      </c>
      <c r="C22" s="75" t="s">
        <v>38</v>
      </c>
      <c r="D22" s="75">
        <v>1</v>
      </c>
      <c r="E22" s="75">
        <v>1</v>
      </c>
      <c r="F22" s="75" t="s">
        <v>38</v>
      </c>
      <c r="G22" s="76" t="s">
        <v>38</v>
      </c>
      <c r="H22" s="76" t="s">
        <v>38</v>
      </c>
      <c r="I22" s="76">
        <v>2</v>
      </c>
      <c r="J22" s="77">
        <v>3</v>
      </c>
      <c r="K22" s="78">
        <f t="shared" si="18"/>
        <v>7</v>
      </c>
      <c r="L22" s="79">
        <v>0</v>
      </c>
      <c r="M22" s="124">
        <f t="shared" si="19"/>
        <v>7</v>
      </c>
      <c r="N22" s="81">
        <v>50.861111111111114</v>
      </c>
      <c r="O22" s="81">
        <v>0</v>
      </c>
      <c r="P22" s="82">
        <f>SUM(N22:N22)</f>
        <v>50.861111111111114</v>
      </c>
      <c r="Q22" s="83">
        <f>P22/8</f>
        <v>6.3576388888888893</v>
      </c>
      <c r="R22" s="84">
        <f t="shared" si="20"/>
        <v>53.404166666666669</v>
      </c>
      <c r="S22" s="83">
        <f>R22/8</f>
        <v>6.6755208333333336</v>
      </c>
      <c r="T22" s="125">
        <v>233</v>
      </c>
      <c r="U22" s="85">
        <v>0</v>
      </c>
      <c r="V22" s="126">
        <f t="shared" si="21"/>
        <v>233</v>
      </c>
      <c r="W22" s="78">
        <f t="shared" si="13"/>
        <v>116.5</v>
      </c>
      <c r="X22" s="87">
        <f t="shared" si="22"/>
        <v>6.6571428571428575</v>
      </c>
      <c r="Y22" s="88">
        <f t="shared" si="14"/>
        <v>8.3214285714285712</v>
      </c>
      <c r="Z22" s="89">
        <f t="shared" si="23"/>
        <v>-0.64236111111111072</v>
      </c>
      <c r="AA22" s="89">
        <f t="shared" si="24"/>
        <v>-0.34285714285714253</v>
      </c>
      <c r="AB22" s="89">
        <f t="shared" si="11"/>
        <v>1.3214285714285712</v>
      </c>
      <c r="AC22" s="90">
        <v>5</v>
      </c>
      <c r="AD22" s="128" t="s">
        <v>38</v>
      </c>
      <c r="AE22" s="92" t="s">
        <v>38</v>
      </c>
      <c r="AF22" s="92" t="s">
        <v>38</v>
      </c>
      <c r="AG22" s="92" t="s">
        <v>38</v>
      </c>
      <c r="AH22" s="92" t="s">
        <v>38</v>
      </c>
      <c r="AI22" s="92" t="s">
        <v>38</v>
      </c>
      <c r="AJ22" s="93" t="s">
        <v>38</v>
      </c>
      <c r="AK22" s="93" t="s">
        <v>38</v>
      </c>
      <c r="AL22" s="93" t="s">
        <v>38</v>
      </c>
      <c r="AM22" s="93" t="s">
        <v>38</v>
      </c>
      <c r="AN22" s="93" t="s">
        <v>38</v>
      </c>
      <c r="AO22" s="94"/>
      <c r="AP22" s="95"/>
    </row>
    <row r="23" spans="1:42" s="7" customFormat="1" ht="21.95" customHeight="1" x14ac:dyDescent="0.2">
      <c r="A23" s="127" t="s">
        <v>57</v>
      </c>
      <c r="B23" s="263" t="s">
        <v>21</v>
      </c>
      <c r="C23" s="96" t="s">
        <v>38</v>
      </c>
      <c r="D23" s="96" t="s">
        <v>38</v>
      </c>
      <c r="E23" s="96">
        <v>1</v>
      </c>
      <c r="F23" s="96" t="s">
        <v>38</v>
      </c>
      <c r="G23" s="97" t="s">
        <v>38</v>
      </c>
      <c r="H23" s="97" t="s">
        <v>38</v>
      </c>
      <c r="I23" s="97">
        <v>6</v>
      </c>
      <c r="J23" s="97">
        <v>1</v>
      </c>
      <c r="K23" s="78">
        <f t="shared" si="18"/>
        <v>8</v>
      </c>
      <c r="L23" s="79">
        <v>0</v>
      </c>
      <c r="M23" s="124">
        <f t="shared" si="19"/>
        <v>8</v>
      </c>
      <c r="N23" s="81">
        <v>154.83333333333334</v>
      </c>
      <c r="O23" s="81">
        <v>0</v>
      </c>
      <c r="P23" s="82">
        <f>SUM(N23:N23)</f>
        <v>154.83333333333334</v>
      </c>
      <c r="Q23" s="83">
        <f>P23/30</f>
        <v>5.1611111111111114</v>
      </c>
      <c r="R23" s="84">
        <f t="shared" si="20"/>
        <v>162.57500000000002</v>
      </c>
      <c r="S23" s="83">
        <f>R23/30</f>
        <v>5.4191666666666674</v>
      </c>
      <c r="T23" s="125">
        <v>210</v>
      </c>
      <c r="U23" s="85">
        <v>0</v>
      </c>
      <c r="V23" s="126">
        <f t="shared" si="21"/>
        <v>210</v>
      </c>
      <c r="W23" s="78">
        <f t="shared" si="13"/>
        <v>105</v>
      </c>
      <c r="X23" s="87">
        <f t="shared" si="22"/>
        <v>6</v>
      </c>
      <c r="Y23" s="88">
        <f t="shared" si="14"/>
        <v>7.5</v>
      </c>
      <c r="Z23" s="89">
        <f t="shared" si="23"/>
        <v>-2.8388888888888886</v>
      </c>
      <c r="AA23" s="89">
        <f t="shared" si="24"/>
        <v>-2</v>
      </c>
      <c r="AB23" s="89">
        <f t="shared" si="11"/>
        <v>-0.5</v>
      </c>
      <c r="AC23" s="90">
        <v>5</v>
      </c>
      <c r="AD23" s="91">
        <f>P23/30</f>
        <v>5.1611111111111114</v>
      </c>
      <c r="AE23" s="92" t="s">
        <v>38</v>
      </c>
      <c r="AF23" s="92" t="s">
        <v>38</v>
      </c>
      <c r="AG23" s="92" t="s">
        <v>38</v>
      </c>
      <c r="AH23" s="92" t="s">
        <v>38</v>
      </c>
      <c r="AI23" s="92" t="s">
        <v>38</v>
      </c>
      <c r="AJ23" s="93" t="s">
        <v>38</v>
      </c>
      <c r="AK23" s="93" t="s">
        <v>38</v>
      </c>
      <c r="AL23" s="93" t="s">
        <v>38</v>
      </c>
      <c r="AM23" s="93" t="s">
        <v>38</v>
      </c>
      <c r="AN23" s="93" t="s">
        <v>38</v>
      </c>
      <c r="AO23" s="94"/>
      <c r="AP23" s="95"/>
    </row>
    <row r="24" spans="1:42" s="7" customFormat="1" ht="21.95" customHeight="1" x14ac:dyDescent="0.55000000000000004">
      <c r="A24" s="129" t="s">
        <v>58</v>
      </c>
      <c r="B24" s="263" t="s">
        <v>23</v>
      </c>
      <c r="C24" s="75" t="s">
        <v>38</v>
      </c>
      <c r="D24" s="75" t="s">
        <v>38</v>
      </c>
      <c r="E24" s="75">
        <v>1</v>
      </c>
      <c r="F24" s="75" t="s">
        <v>38</v>
      </c>
      <c r="G24" s="76" t="s">
        <v>38</v>
      </c>
      <c r="H24" s="76" t="s">
        <v>38</v>
      </c>
      <c r="I24" s="76">
        <v>4</v>
      </c>
      <c r="J24" s="77">
        <v>3</v>
      </c>
      <c r="K24" s="78">
        <f t="shared" si="18"/>
        <v>8</v>
      </c>
      <c r="L24" s="79">
        <v>0</v>
      </c>
      <c r="M24" s="124">
        <f t="shared" si="19"/>
        <v>8</v>
      </c>
      <c r="N24" s="81">
        <v>399.78</v>
      </c>
      <c r="O24" s="81">
        <v>0</v>
      </c>
      <c r="P24" s="82">
        <f>SUM(N24:N24)</f>
        <v>399.78</v>
      </c>
      <c r="Q24" s="83">
        <f>P24/50</f>
        <v>7.9955999999999996</v>
      </c>
      <c r="R24" s="84">
        <f t="shared" si="20"/>
        <v>419.76899999999995</v>
      </c>
      <c r="S24" s="83">
        <f>R24/50</f>
        <v>8.3953799999999994</v>
      </c>
      <c r="T24" s="125">
        <v>194</v>
      </c>
      <c r="U24" s="85">
        <v>0</v>
      </c>
      <c r="V24" s="126">
        <f t="shared" si="21"/>
        <v>194</v>
      </c>
      <c r="W24" s="78">
        <f t="shared" si="13"/>
        <v>97</v>
      </c>
      <c r="X24" s="87">
        <f t="shared" si="22"/>
        <v>5.5428571428571427</v>
      </c>
      <c r="Y24" s="88">
        <f t="shared" si="14"/>
        <v>6.9285714285714288</v>
      </c>
      <c r="Z24" s="89">
        <f t="shared" si="23"/>
        <v>-4.4000000000004036E-3</v>
      </c>
      <c r="AA24" s="89">
        <f t="shared" si="24"/>
        <v>-2.4571428571428573</v>
      </c>
      <c r="AB24" s="89">
        <f t="shared" si="11"/>
        <v>-1.0714285714285712</v>
      </c>
      <c r="AC24" s="90">
        <v>5</v>
      </c>
      <c r="AD24" s="128" t="s">
        <v>38</v>
      </c>
      <c r="AE24" s="92" t="s">
        <v>38</v>
      </c>
      <c r="AF24" s="92" t="s">
        <v>38</v>
      </c>
      <c r="AG24" s="92" t="s">
        <v>38</v>
      </c>
      <c r="AH24" s="92" t="s">
        <v>38</v>
      </c>
      <c r="AI24" s="92">
        <v>1</v>
      </c>
      <c r="AJ24" s="93" t="s">
        <v>38</v>
      </c>
      <c r="AK24" s="93" t="s">
        <v>38</v>
      </c>
      <c r="AL24" s="93" t="s">
        <v>38</v>
      </c>
      <c r="AM24" s="93" t="s">
        <v>38</v>
      </c>
      <c r="AN24" s="93" t="s">
        <v>38</v>
      </c>
      <c r="AO24" s="94" t="s">
        <v>130</v>
      </c>
      <c r="AP24" s="95"/>
    </row>
    <row r="25" spans="1:42" s="7" customFormat="1" ht="21.95" customHeight="1" x14ac:dyDescent="0.2">
      <c r="A25" s="123" t="s">
        <v>59</v>
      </c>
      <c r="B25" s="263" t="s">
        <v>24</v>
      </c>
      <c r="C25" s="75" t="s">
        <v>38</v>
      </c>
      <c r="D25" s="75" t="s">
        <v>38</v>
      </c>
      <c r="E25" s="75">
        <v>2</v>
      </c>
      <c r="F25" s="75" t="s">
        <v>38</v>
      </c>
      <c r="G25" s="76" t="s">
        <v>38</v>
      </c>
      <c r="H25" s="76" t="s">
        <v>38</v>
      </c>
      <c r="I25" s="76">
        <v>2</v>
      </c>
      <c r="J25" s="77">
        <v>1</v>
      </c>
      <c r="K25" s="78">
        <f t="shared" si="18"/>
        <v>5</v>
      </c>
      <c r="L25" s="79">
        <v>0</v>
      </c>
      <c r="M25" s="124">
        <f t="shared" si="19"/>
        <v>5</v>
      </c>
      <c r="N25" s="81">
        <v>60.5</v>
      </c>
      <c r="O25" s="81">
        <v>0</v>
      </c>
      <c r="P25" s="82">
        <f>SUM(N25:N25)</f>
        <v>60.5</v>
      </c>
      <c r="Q25" s="83">
        <f>P25/8</f>
        <v>7.5625</v>
      </c>
      <c r="R25" s="84">
        <f t="shared" si="20"/>
        <v>63.524999999999999</v>
      </c>
      <c r="S25" s="83">
        <f>R25/8</f>
        <v>7.9406249999999998</v>
      </c>
      <c r="T25" s="103">
        <v>113</v>
      </c>
      <c r="U25" s="85">
        <v>0</v>
      </c>
      <c r="V25" s="78">
        <f t="shared" si="21"/>
        <v>113</v>
      </c>
      <c r="W25" s="78">
        <f t="shared" si="13"/>
        <v>56.5</v>
      </c>
      <c r="X25" s="87">
        <f t="shared" si="22"/>
        <v>3.2285714285714286</v>
      </c>
      <c r="Y25" s="88">
        <f t="shared" si="14"/>
        <v>4.0357142857142856</v>
      </c>
      <c r="Z25" s="89">
        <f t="shared" si="23"/>
        <v>2.5625</v>
      </c>
      <c r="AA25" s="89">
        <f t="shared" si="24"/>
        <v>-1.7714285714285714</v>
      </c>
      <c r="AB25" s="89">
        <f t="shared" si="11"/>
        <v>-0.96428571428571441</v>
      </c>
      <c r="AC25" s="90">
        <v>5</v>
      </c>
      <c r="AD25" s="128" t="s">
        <v>38</v>
      </c>
      <c r="AE25" s="92" t="s">
        <v>38</v>
      </c>
      <c r="AF25" s="92" t="s">
        <v>38</v>
      </c>
      <c r="AG25" s="92" t="s">
        <v>38</v>
      </c>
      <c r="AH25" s="92" t="s">
        <v>38</v>
      </c>
      <c r="AI25" s="92">
        <v>1</v>
      </c>
      <c r="AJ25" s="93" t="s">
        <v>38</v>
      </c>
      <c r="AK25" s="93" t="s">
        <v>38</v>
      </c>
      <c r="AL25" s="93" t="s">
        <v>38</v>
      </c>
      <c r="AM25" s="93" t="s">
        <v>38</v>
      </c>
      <c r="AN25" s="93" t="s">
        <v>38</v>
      </c>
      <c r="AO25" s="94" t="s">
        <v>133</v>
      </c>
      <c r="AP25" s="95"/>
    </row>
    <row r="26" spans="1:42" s="7" customFormat="1" ht="21.95" customHeight="1" x14ac:dyDescent="0.2">
      <c r="A26" s="123" t="s">
        <v>60</v>
      </c>
      <c r="B26" s="263" t="s">
        <v>21</v>
      </c>
      <c r="C26" s="75" t="s">
        <v>38</v>
      </c>
      <c r="D26" s="75" t="s">
        <v>38</v>
      </c>
      <c r="E26" s="75">
        <v>1</v>
      </c>
      <c r="F26" s="75" t="s">
        <v>38</v>
      </c>
      <c r="G26" s="76" t="s">
        <v>38</v>
      </c>
      <c r="H26" s="76" t="s">
        <v>38</v>
      </c>
      <c r="I26" s="76">
        <v>5</v>
      </c>
      <c r="J26" s="77">
        <v>3</v>
      </c>
      <c r="K26" s="78">
        <f t="shared" si="18"/>
        <v>9</v>
      </c>
      <c r="L26" s="79">
        <v>0</v>
      </c>
      <c r="M26" s="124">
        <f t="shared" si="19"/>
        <v>9</v>
      </c>
      <c r="N26" s="81">
        <v>241.52777777777777</v>
      </c>
      <c r="O26" s="81">
        <v>0</v>
      </c>
      <c r="P26" s="82">
        <f t="shared" ref="P26:P44" si="25">SUM(N26:O26)</f>
        <v>241.52777777777777</v>
      </c>
      <c r="Q26" s="83">
        <f>P26/20</f>
        <v>12.076388888888889</v>
      </c>
      <c r="R26" s="84">
        <f t="shared" si="20"/>
        <v>253.60416666666666</v>
      </c>
      <c r="S26" s="83">
        <f>R26/20</f>
        <v>12.680208333333333</v>
      </c>
      <c r="T26" s="103">
        <v>221</v>
      </c>
      <c r="U26" s="85">
        <v>0</v>
      </c>
      <c r="V26" s="78">
        <f t="shared" si="21"/>
        <v>221</v>
      </c>
      <c r="W26" s="78">
        <f t="shared" si="13"/>
        <v>110.5</v>
      </c>
      <c r="X26" s="87">
        <f t="shared" si="22"/>
        <v>6.3142857142857141</v>
      </c>
      <c r="Y26" s="88">
        <f t="shared" si="14"/>
        <v>7.8928571428571432</v>
      </c>
      <c r="Z26" s="89">
        <f t="shared" si="23"/>
        <v>3.0763888888888893</v>
      </c>
      <c r="AA26" s="89">
        <f t="shared" si="24"/>
        <v>-2.6857142857142859</v>
      </c>
      <c r="AB26" s="89">
        <f t="shared" si="11"/>
        <v>-1.1071428571428568</v>
      </c>
      <c r="AC26" s="90">
        <v>5</v>
      </c>
      <c r="AD26" s="91">
        <f>P26/30</f>
        <v>8.0509259259259256</v>
      </c>
      <c r="AE26" s="92" t="s">
        <v>38</v>
      </c>
      <c r="AF26" s="92" t="s">
        <v>38</v>
      </c>
      <c r="AG26" s="92" t="s">
        <v>38</v>
      </c>
      <c r="AH26" s="92">
        <v>2</v>
      </c>
      <c r="AI26" s="92" t="s">
        <v>38</v>
      </c>
      <c r="AJ26" s="93" t="s">
        <v>38</v>
      </c>
      <c r="AK26" s="93" t="s">
        <v>38</v>
      </c>
      <c r="AL26" s="93" t="s">
        <v>38</v>
      </c>
      <c r="AM26" s="93" t="s">
        <v>38</v>
      </c>
      <c r="AN26" s="93" t="s">
        <v>38</v>
      </c>
      <c r="AO26" s="94" t="s">
        <v>130</v>
      </c>
      <c r="AP26" s="95"/>
    </row>
    <row r="27" spans="1:42" s="7" customFormat="1" ht="21.95" customHeight="1" x14ac:dyDescent="0.2">
      <c r="A27" s="123" t="s">
        <v>61</v>
      </c>
      <c r="B27" s="263" t="s">
        <v>21</v>
      </c>
      <c r="C27" s="75" t="s">
        <v>38</v>
      </c>
      <c r="D27" s="75" t="s">
        <v>38</v>
      </c>
      <c r="E27" s="75" t="s">
        <v>38</v>
      </c>
      <c r="F27" s="75">
        <v>1</v>
      </c>
      <c r="G27" s="76" t="s">
        <v>38</v>
      </c>
      <c r="H27" s="76" t="s">
        <v>38</v>
      </c>
      <c r="I27" s="76">
        <v>2</v>
      </c>
      <c r="J27" s="77">
        <v>5</v>
      </c>
      <c r="K27" s="78">
        <f t="shared" si="18"/>
        <v>8</v>
      </c>
      <c r="L27" s="79">
        <v>0</v>
      </c>
      <c r="M27" s="124">
        <f t="shared" si="19"/>
        <v>8</v>
      </c>
      <c r="N27" s="81">
        <v>98.972222222222229</v>
      </c>
      <c r="O27" s="81">
        <v>0</v>
      </c>
      <c r="P27" s="82">
        <f t="shared" si="25"/>
        <v>98.972222222222229</v>
      </c>
      <c r="Q27" s="83">
        <f>P27/20</f>
        <v>4.9486111111111111</v>
      </c>
      <c r="R27" s="84">
        <f t="shared" si="20"/>
        <v>103.92083333333333</v>
      </c>
      <c r="S27" s="83">
        <f>R27/20</f>
        <v>5.1960416666666669</v>
      </c>
      <c r="T27" s="103">
        <v>125</v>
      </c>
      <c r="U27" s="85">
        <v>0</v>
      </c>
      <c r="V27" s="78">
        <f t="shared" si="21"/>
        <v>125</v>
      </c>
      <c r="W27" s="78">
        <f t="shared" si="13"/>
        <v>62.5</v>
      </c>
      <c r="X27" s="87">
        <f t="shared" si="22"/>
        <v>3.5714285714285716</v>
      </c>
      <c r="Y27" s="88">
        <f t="shared" si="14"/>
        <v>4.4642857142857144</v>
      </c>
      <c r="Z27" s="89">
        <f t="shared" si="23"/>
        <v>-3.0513888888888889</v>
      </c>
      <c r="AA27" s="89">
        <f t="shared" si="24"/>
        <v>-4.4285714285714288</v>
      </c>
      <c r="AB27" s="89">
        <f t="shared" si="11"/>
        <v>-3.5357142857142856</v>
      </c>
      <c r="AC27" s="90">
        <v>5</v>
      </c>
      <c r="AD27" s="128" t="s">
        <v>38</v>
      </c>
      <c r="AE27" s="92" t="s">
        <v>38</v>
      </c>
      <c r="AF27" s="92" t="s">
        <v>38</v>
      </c>
      <c r="AG27" s="92">
        <v>1</v>
      </c>
      <c r="AH27" s="92" t="s">
        <v>38</v>
      </c>
      <c r="AI27" s="92" t="s">
        <v>38</v>
      </c>
      <c r="AJ27" s="93" t="s">
        <v>38</v>
      </c>
      <c r="AK27" s="93" t="s">
        <v>38</v>
      </c>
      <c r="AL27" s="93" t="s">
        <v>38</v>
      </c>
      <c r="AM27" s="93" t="s">
        <v>38</v>
      </c>
      <c r="AN27" s="93" t="s">
        <v>38</v>
      </c>
      <c r="AO27" s="94" t="s">
        <v>130</v>
      </c>
      <c r="AP27" s="95"/>
    </row>
    <row r="28" spans="1:42" s="7" customFormat="1" ht="21.95" customHeight="1" x14ac:dyDescent="0.2">
      <c r="A28" s="123" t="s">
        <v>62</v>
      </c>
      <c r="B28" s="263" t="s">
        <v>24</v>
      </c>
      <c r="C28" s="96" t="s">
        <v>38</v>
      </c>
      <c r="D28" s="96" t="s">
        <v>38</v>
      </c>
      <c r="E28" s="96" t="s">
        <v>38</v>
      </c>
      <c r="F28" s="96" t="s">
        <v>38</v>
      </c>
      <c r="G28" s="97" t="s">
        <v>38</v>
      </c>
      <c r="H28" s="97" t="s">
        <v>38</v>
      </c>
      <c r="I28" s="97" t="s">
        <v>38</v>
      </c>
      <c r="J28" s="97">
        <v>9</v>
      </c>
      <c r="K28" s="78">
        <f t="shared" si="18"/>
        <v>9</v>
      </c>
      <c r="L28" s="79">
        <v>0</v>
      </c>
      <c r="M28" s="124">
        <f t="shared" si="19"/>
        <v>9</v>
      </c>
      <c r="N28" s="81">
        <v>249.69444444444446</v>
      </c>
      <c r="O28" s="81">
        <v>0</v>
      </c>
      <c r="P28" s="82">
        <f t="shared" si="25"/>
        <v>249.69444444444446</v>
      </c>
      <c r="Q28" s="83">
        <f>P28/25</f>
        <v>9.9877777777777776</v>
      </c>
      <c r="R28" s="84">
        <f t="shared" si="20"/>
        <v>262.17916666666667</v>
      </c>
      <c r="S28" s="83">
        <f>R28/25</f>
        <v>10.487166666666667</v>
      </c>
      <c r="T28" s="85">
        <f>276+12</f>
        <v>288</v>
      </c>
      <c r="U28" s="85">
        <v>0</v>
      </c>
      <c r="V28" s="78">
        <f t="shared" si="21"/>
        <v>288</v>
      </c>
      <c r="W28" s="78">
        <f t="shared" si="13"/>
        <v>144</v>
      </c>
      <c r="X28" s="87">
        <f t="shared" si="22"/>
        <v>8.2285714285714278</v>
      </c>
      <c r="Y28" s="88">
        <f t="shared" si="14"/>
        <v>10.285714285714286</v>
      </c>
      <c r="Z28" s="89">
        <f t="shared" si="23"/>
        <v>0.98777777777777764</v>
      </c>
      <c r="AA28" s="89">
        <f t="shared" si="24"/>
        <v>-0.77142857142857224</v>
      </c>
      <c r="AB28" s="89">
        <f t="shared" si="11"/>
        <v>1.2857142857142865</v>
      </c>
      <c r="AC28" s="90">
        <v>5</v>
      </c>
      <c r="AD28" s="128" t="s">
        <v>38</v>
      </c>
      <c r="AE28" s="92" t="s">
        <v>38</v>
      </c>
      <c r="AF28" s="92" t="s">
        <v>38</v>
      </c>
      <c r="AG28" s="92" t="s">
        <v>38</v>
      </c>
      <c r="AH28" s="92" t="s">
        <v>38</v>
      </c>
      <c r="AI28" s="92" t="s">
        <v>38</v>
      </c>
      <c r="AJ28" s="93" t="s">
        <v>38</v>
      </c>
      <c r="AK28" s="93" t="s">
        <v>38</v>
      </c>
      <c r="AL28" s="93" t="s">
        <v>38</v>
      </c>
      <c r="AM28" s="93" t="s">
        <v>38</v>
      </c>
      <c r="AN28" s="93" t="s">
        <v>38</v>
      </c>
      <c r="AO28" s="94"/>
      <c r="AP28" s="95"/>
    </row>
    <row r="29" spans="1:42" s="7" customFormat="1" ht="21.95" customHeight="1" x14ac:dyDescent="0.2">
      <c r="A29" s="123" t="s">
        <v>63</v>
      </c>
      <c r="B29" s="263" t="s">
        <v>24</v>
      </c>
      <c r="C29" s="75" t="s">
        <v>38</v>
      </c>
      <c r="D29" s="75" t="s">
        <v>38</v>
      </c>
      <c r="E29" s="75">
        <v>1</v>
      </c>
      <c r="F29" s="75">
        <v>1</v>
      </c>
      <c r="G29" s="76" t="s">
        <v>38</v>
      </c>
      <c r="H29" s="76" t="s">
        <v>38</v>
      </c>
      <c r="I29" s="76" t="s">
        <v>38</v>
      </c>
      <c r="J29" s="77">
        <v>5</v>
      </c>
      <c r="K29" s="78">
        <f t="shared" si="18"/>
        <v>7</v>
      </c>
      <c r="L29" s="79">
        <v>0</v>
      </c>
      <c r="M29" s="124">
        <f t="shared" si="19"/>
        <v>7</v>
      </c>
      <c r="N29" s="81">
        <v>160.02777777777777</v>
      </c>
      <c r="O29" s="81">
        <v>0</v>
      </c>
      <c r="P29" s="82">
        <f t="shared" si="25"/>
        <v>160.02777777777777</v>
      </c>
      <c r="Q29" s="83">
        <f>P29/25</f>
        <v>6.4011111111111108</v>
      </c>
      <c r="R29" s="84">
        <f t="shared" si="20"/>
        <v>168.02916666666667</v>
      </c>
      <c r="S29" s="83">
        <f>R29/25</f>
        <v>6.721166666666667</v>
      </c>
      <c r="T29" s="85">
        <f>136+12</f>
        <v>148</v>
      </c>
      <c r="U29" s="85">
        <v>0</v>
      </c>
      <c r="V29" s="78">
        <f t="shared" si="21"/>
        <v>148</v>
      </c>
      <c r="W29" s="78">
        <f t="shared" si="13"/>
        <v>74</v>
      </c>
      <c r="X29" s="87">
        <f t="shared" si="22"/>
        <v>4.2285714285714286</v>
      </c>
      <c r="Y29" s="88">
        <f t="shared" si="14"/>
        <v>5.2857142857142856</v>
      </c>
      <c r="Z29" s="89">
        <f t="shared" si="23"/>
        <v>-0.59888888888888925</v>
      </c>
      <c r="AA29" s="89">
        <f t="shared" si="24"/>
        <v>-2.7714285714285714</v>
      </c>
      <c r="AB29" s="89">
        <f t="shared" si="11"/>
        <v>-1.7142857142857144</v>
      </c>
      <c r="AC29" s="90">
        <v>5</v>
      </c>
      <c r="AD29" s="128" t="s">
        <v>38</v>
      </c>
      <c r="AE29" s="92" t="s">
        <v>38</v>
      </c>
      <c r="AF29" s="92" t="s">
        <v>38</v>
      </c>
      <c r="AG29" s="92" t="s">
        <v>38</v>
      </c>
      <c r="AH29" s="92" t="s">
        <v>38</v>
      </c>
      <c r="AI29" s="92" t="s">
        <v>38</v>
      </c>
      <c r="AJ29" s="93" t="s">
        <v>38</v>
      </c>
      <c r="AK29" s="93" t="s">
        <v>38</v>
      </c>
      <c r="AL29" s="93" t="s">
        <v>38</v>
      </c>
      <c r="AM29" s="93" t="s">
        <v>38</v>
      </c>
      <c r="AN29" s="93" t="s">
        <v>38</v>
      </c>
      <c r="AO29" s="94"/>
      <c r="AP29" s="95"/>
    </row>
    <row r="30" spans="1:42" s="7" customFormat="1" ht="21.95" customHeight="1" x14ac:dyDescent="0.2">
      <c r="A30" s="342" t="s">
        <v>64</v>
      </c>
      <c r="B30" s="263" t="s">
        <v>19</v>
      </c>
      <c r="C30" s="75" t="s">
        <v>38</v>
      </c>
      <c r="D30" s="75" t="s">
        <v>38</v>
      </c>
      <c r="E30" s="75" t="s">
        <v>38</v>
      </c>
      <c r="F30" s="75" t="s">
        <v>38</v>
      </c>
      <c r="G30" s="76" t="s">
        <v>38</v>
      </c>
      <c r="H30" s="76" t="s">
        <v>38</v>
      </c>
      <c r="I30" s="76">
        <v>2</v>
      </c>
      <c r="J30" s="76">
        <v>1</v>
      </c>
      <c r="K30" s="130">
        <f t="shared" si="18"/>
        <v>3</v>
      </c>
      <c r="L30" s="131">
        <v>0</v>
      </c>
      <c r="M30" s="132">
        <f t="shared" si="19"/>
        <v>3</v>
      </c>
      <c r="N30" s="133">
        <v>0</v>
      </c>
      <c r="O30" s="81">
        <f>12.4583333333333*1.8</f>
        <v>22.42499999999994</v>
      </c>
      <c r="P30" s="82">
        <f t="shared" si="25"/>
        <v>22.42499999999994</v>
      </c>
      <c r="Q30" s="134">
        <f>P30/30</f>
        <v>0.74749999999999805</v>
      </c>
      <c r="R30" s="84">
        <f t="shared" si="20"/>
        <v>23.546249999999937</v>
      </c>
      <c r="S30" s="135">
        <f>R30/30</f>
        <v>0.78487499999999788</v>
      </c>
      <c r="T30" s="109">
        <v>0</v>
      </c>
      <c r="U30" s="136">
        <f>36+15</f>
        <v>51</v>
      </c>
      <c r="V30" s="78">
        <f>SUM(U30:U30)</f>
        <v>51</v>
      </c>
      <c r="W30" s="78">
        <f t="shared" si="13"/>
        <v>25.5</v>
      </c>
      <c r="X30" s="87">
        <f t="shared" si="22"/>
        <v>1.4571428571428571</v>
      </c>
      <c r="Y30" s="88">
        <f t="shared" si="14"/>
        <v>1.8214285714285714</v>
      </c>
      <c r="Z30" s="89">
        <f t="shared" si="23"/>
        <v>-2.2525000000000022</v>
      </c>
      <c r="AA30" s="89">
        <f t="shared" si="24"/>
        <v>-1.5428571428571429</v>
      </c>
      <c r="AB30" s="89">
        <f t="shared" si="11"/>
        <v>-1.1785714285714286</v>
      </c>
      <c r="AC30" s="90">
        <v>3</v>
      </c>
      <c r="AD30" s="128" t="s">
        <v>38</v>
      </c>
      <c r="AE30" s="92" t="s">
        <v>38</v>
      </c>
      <c r="AF30" s="92" t="s">
        <v>38</v>
      </c>
      <c r="AG30" s="92" t="s">
        <v>38</v>
      </c>
      <c r="AH30" s="92" t="s">
        <v>38</v>
      </c>
      <c r="AI30" s="92" t="s">
        <v>38</v>
      </c>
      <c r="AJ30" s="93" t="s">
        <v>38</v>
      </c>
      <c r="AK30" s="93" t="s">
        <v>38</v>
      </c>
      <c r="AL30" s="93" t="s">
        <v>38</v>
      </c>
      <c r="AM30" s="93" t="s">
        <v>38</v>
      </c>
      <c r="AN30" s="93" t="s">
        <v>38</v>
      </c>
      <c r="AO30" s="94"/>
      <c r="AP30" s="95"/>
    </row>
    <row r="31" spans="1:42" s="7" customFormat="1" ht="21.95" customHeight="1" x14ac:dyDescent="0.2">
      <c r="A31" s="342"/>
      <c r="B31" s="263" t="s">
        <v>21</v>
      </c>
      <c r="C31" s="75" t="s">
        <v>38</v>
      </c>
      <c r="D31" s="75" t="s">
        <v>38</v>
      </c>
      <c r="E31" s="75" t="s">
        <v>38</v>
      </c>
      <c r="F31" s="75">
        <v>1</v>
      </c>
      <c r="G31" s="76" t="s">
        <v>38</v>
      </c>
      <c r="H31" s="76" t="s">
        <v>38</v>
      </c>
      <c r="I31" s="76">
        <v>2</v>
      </c>
      <c r="J31" s="76">
        <v>2</v>
      </c>
      <c r="K31" s="130">
        <f t="shared" si="18"/>
        <v>5</v>
      </c>
      <c r="L31" s="131">
        <v>0</v>
      </c>
      <c r="M31" s="132">
        <f t="shared" si="19"/>
        <v>5</v>
      </c>
      <c r="N31" s="133">
        <v>248.97222222222223</v>
      </c>
      <c r="O31" s="98">
        <v>0</v>
      </c>
      <c r="P31" s="82">
        <f t="shared" si="25"/>
        <v>248.97222222222223</v>
      </c>
      <c r="Q31" s="134">
        <f>P31/30</f>
        <v>8.299074074074074</v>
      </c>
      <c r="R31" s="84">
        <f t="shared" si="20"/>
        <v>261.42083333333335</v>
      </c>
      <c r="S31" s="135">
        <f>R31/30</f>
        <v>8.7140277777777779</v>
      </c>
      <c r="T31" s="103">
        <v>269</v>
      </c>
      <c r="U31" s="136">
        <v>0</v>
      </c>
      <c r="V31" s="78">
        <f t="shared" ref="V31:V38" si="26">SUM(T31:U31)</f>
        <v>269</v>
      </c>
      <c r="W31" s="78">
        <f t="shared" si="13"/>
        <v>134.5</v>
      </c>
      <c r="X31" s="87">
        <f t="shared" si="22"/>
        <v>7.6857142857142859</v>
      </c>
      <c r="Y31" s="88">
        <f t="shared" si="14"/>
        <v>9.6071428571428577</v>
      </c>
      <c r="Z31" s="89">
        <f t="shared" si="23"/>
        <v>3.299074074074074</v>
      </c>
      <c r="AA31" s="89">
        <f t="shared" si="24"/>
        <v>2.6857142857142859</v>
      </c>
      <c r="AB31" s="89">
        <f t="shared" si="11"/>
        <v>4.6071428571428577</v>
      </c>
      <c r="AC31" s="90">
        <v>5</v>
      </c>
      <c r="AD31" s="128" t="s">
        <v>38</v>
      </c>
      <c r="AE31" s="92" t="s">
        <v>38</v>
      </c>
      <c r="AF31" s="92" t="s">
        <v>38</v>
      </c>
      <c r="AG31" s="92" t="s">
        <v>38</v>
      </c>
      <c r="AH31" s="92" t="s">
        <v>38</v>
      </c>
      <c r="AI31" s="92" t="s">
        <v>38</v>
      </c>
      <c r="AJ31" s="93" t="s">
        <v>38</v>
      </c>
      <c r="AK31" s="93" t="s">
        <v>38</v>
      </c>
      <c r="AL31" s="93" t="s">
        <v>38</v>
      </c>
      <c r="AM31" s="93" t="s">
        <v>38</v>
      </c>
      <c r="AN31" s="93" t="s">
        <v>38</v>
      </c>
      <c r="AO31" s="94" t="s">
        <v>134</v>
      </c>
      <c r="AP31" s="95"/>
    </row>
    <row r="32" spans="1:42" s="7" customFormat="1" ht="21.95" customHeight="1" x14ac:dyDescent="0.2">
      <c r="A32" s="342"/>
      <c r="B32" s="263" t="s">
        <v>262</v>
      </c>
      <c r="C32" s="75" t="s">
        <v>38</v>
      </c>
      <c r="D32" s="75" t="s">
        <v>38</v>
      </c>
      <c r="E32" s="75" t="s">
        <v>38</v>
      </c>
      <c r="F32" s="75" t="s">
        <v>38</v>
      </c>
      <c r="G32" s="76" t="s">
        <v>38</v>
      </c>
      <c r="H32" s="76" t="s">
        <v>38</v>
      </c>
      <c r="I32" s="76">
        <v>2</v>
      </c>
      <c r="J32" s="76">
        <v>4</v>
      </c>
      <c r="K32" s="130">
        <f t="shared" si="18"/>
        <v>6</v>
      </c>
      <c r="L32" s="131">
        <v>1</v>
      </c>
      <c r="M32" s="132">
        <f t="shared" si="19"/>
        <v>5</v>
      </c>
      <c r="N32" s="133">
        <v>244.5</v>
      </c>
      <c r="O32" s="98">
        <v>0</v>
      </c>
      <c r="P32" s="82">
        <f t="shared" si="25"/>
        <v>244.5</v>
      </c>
      <c r="Q32" s="134">
        <f>P32/25</f>
        <v>9.7799999999999994</v>
      </c>
      <c r="R32" s="84">
        <f t="shared" si="20"/>
        <v>256.72500000000002</v>
      </c>
      <c r="S32" s="135">
        <f>R32/25</f>
        <v>10.269</v>
      </c>
      <c r="T32" s="103">
        <f>205+263</f>
        <v>468</v>
      </c>
      <c r="U32" s="136">
        <v>0</v>
      </c>
      <c r="V32" s="78">
        <f t="shared" si="26"/>
        <v>468</v>
      </c>
      <c r="W32" s="78">
        <f t="shared" si="13"/>
        <v>234</v>
      </c>
      <c r="X32" s="87">
        <f t="shared" si="22"/>
        <v>13.371428571428572</v>
      </c>
      <c r="Y32" s="88">
        <f t="shared" si="14"/>
        <v>16.714285714285715</v>
      </c>
      <c r="Z32" s="89">
        <f t="shared" si="23"/>
        <v>4.7799999999999994</v>
      </c>
      <c r="AA32" s="89">
        <f t="shared" si="24"/>
        <v>8.3714285714285719</v>
      </c>
      <c r="AB32" s="89">
        <f t="shared" si="11"/>
        <v>11.714285714285715</v>
      </c>
      <c r="AC32" s="90">
        <v>5</v>
      </c>
      <c r="AD32" s="128" t="s">
        <v>38</v>
      </c>
      <c r="AE32" s="92" t="s">
        <v>38</v>
      </c>
      <c r="AF32" s="92" t="s">
        <v>38</v>
      </c>
      <c r="AG32" s="92" t="s">
        <v>38</v>
      </c>
      <c r="AH32" s="92" t="s">
        <v>38</v>
      </c>
      <c r="AI32" s="92" t="s">
        <v>38</v>
      </c>
      <c r="AJ32" s="93" t="s">
        <v>38</v>
      </c>
      <c r="AK32" s="93" t="s">
        <v>38</v>
      </c>
      <c r="AL32" s="93" t="s">
        <v>38</v>
      </c>
      <c r="AM32" s="93" t="s">
        <v>38</v>
      </c>
      <c r="AN32" s="93" t="s">
        <v>38</v>
      </c>
      <c r="AO32" s="94" t="s">
        <v>132</v>
      </c>
      <c r="AP32" s="95"/>
    </row>
    <row r="33" spans="1:42" s="7" customFormat="1" ht="21.95" customHeight="1" x14ac:dyDescent="0.2">
      <c r="A33" s="342"/>
      <c r="B33" s="263" t="s">
        <v>263</v>
      </c>
      <c r="C33" s="75" t="s">
        <v>38</v>
      </c>
      <c r="D33" s="75" t="s">
        <v>38</v>
      </c>
      <c r="E33" s="75" t="s">
        <v>38</v>
      </c>
      <c r="F33" s="75" t="s">
        <v>38</v>
      </c>
      <c r="G33" s="76" t="s">
        <v>38</v>
      </c>
      <c r="H33" s="76"/>
      <c r="I33" s="76">
        <v>2</v>
      </c>
      <c r="J33" s="76">
        <v>4</v>
      </c>
      <c r="K33" s="130">
        <f t="shared" si="18"/>
        <v>6</v>
      </c>
      <c r="L33" s="131">
        <v>0</v>
      </c>
      <c r="M33" s="132">
        <f t="shared" si="19"/>
        <v>6</v>
      </c>
      <c r="N33" s="81">
        <v>63.5</v>
      </c>
      <c r="O33" s="98">
        <v>0</v>
      </c>
      <c r="P33" s="82">
        <f t="shared" si="25"/>
        <v>63.5</v>
      </c>
      <c r="Q33" s="134">
        <f>P33/25</f>
        <v>2.54</v>
      </c>
      <c r="R33" s="84">
        <f t="shared" si="20"/>
        <v>66.674999999999997</v>
      </c>
      <c r="S33" s="135">
        <f>R33/25</f>
        <v>2.6669999999999998</v>
      </c>
      <c r="T33" s="137">
        <v>62</v>
      </c>
      <c r="U33" s="136">
        <v>0</v>
      </c>
      <c r="V33" s="78">
        <f t="shared" si="26"/>
        <v>62</v>
      </c>
      <c r="W33" s="78">
        <f t="shared" si="13"/>
        <v>31</v>
      </c>
      <c r="X33" s="87">
        <f t="shared" si="22"/>
        <v>1.7714285714285714</v>
      </c>
      <c r="Y33" s="88">
        <f t="shared" si="14"/>
        <v>2.2142857142857144</v>
      </c>
      <c r="Z33" s="89">
        <f t="shared" si="23"/>
        <v>-3.46</v>
      </c>
      <c r="AA33" s="89">
        <f t="shared" si="24"/>
        <v>-4.2285714285714286</v>
      </c>
      <c r="AB33" s="89">
        <f t="shared" si="11"/>
        <v>-3.7857142857142856</v>
      </c>
      <c r="AC33" s="90"/>
      <c r="AD33" s="128" t="s">
        <v>38</v>
      </c>
      <c r="AE33" s="92"/>
      <c r="AF33" s="92"/>
      <c r="AG33" s="92"/>
      <c r="AH33" s="92"/>
      <c r="AI33" s="92"/>
      <c r="AJ33" s="93"/>
      <c r="AK33" s="93"/>
      <c r="AL33" s="93"/>
      <c r="AM33" s="93"/>
      <c r="AN33" s="93"/>
      <c r="AO33" s="94"/>
      <c r="AP33" s="95"/>
    </row>
    <row r="34" spans="1:42" s="10" customFormat="1" ht="21.95" customHeight="1" x14ac:dyDescent="0.2">
      <c r="A34" s="138" t="s">
        <v>65</v>
      </c>
      <c r="B34" s="262" t="s">
        <v>38</v>
      </c>
      <c r="C34" s="96" t="s">
        <v>38</v>
      </c>
      <c r="D34" s="96" t="s">
        <v>38</v>
      </c>
      <c r="E34" s="96" t="s">
        <v>38</v>
      </c>
      <c r="F34" s="96" t="s">
        <v>38</v>
      </c>
      <c r="G34" s="97" t="s">
        <v>38</v>
      </c>
      <c r="H34" s="97" t="s">
        <v>38</v>
      </c>
      <c r="I34" s="97" t="s">
        <v>38</v>
      </c>
      <c r="J34" s="97">
        <v>2</v>
      </c>
      <c r="K34" s="78">
        <f t="shared" si="18"/>
        <v>2</v>
      </c>
      <c r="L34" s="139">
        <v>0</v>
      </c>
      <c r="M34" s="80">
        <f t="shared" si="19"/>
        <v>2</v>
      </c>
      <c r="N34" s="98">
        <v>0</v>
      </c>
      <c r="O34" s="98">
        <v>0</v>
      </c>
      <c r="P34" s="82">
        <f t="shared" si="25"/>
        <v>0</v>
      </c>
      <c r="Q34" s="83">
        <v>0</v>
      </c>
      <c r="R34" s="84">
        <f t="shared" si="20"/>
        <v>0</v>
      </c>
      <c r="S34" s="83">
        <v>0</v>
      </c>
      <c r="T34" s="85">
        <v>0</v>
      </c>
      <c r="U34" s="85">
        <v>0</v>
      </c>
      <c r="V34" s="78">
        <f t="shared" si="26"/>
        <v>0</v>
      </c>
      <c r="W34" s="78">
        <f t="shared" si="13"/>
        <v>0</v>
      </c>
      <c r="X34" s="87">
        <f t="shared" si="22"/>
        <v>0</v>
      </c>
      <c r="Y34" s="88">
        <f t="shared" si="14"/>
        <v>0</v>
      </c>
      <c r="Z34" s="100">
        <v>0</v>
      </c>
      <c r="AA34" s="100">
        <v>0</v>
      </c>
      <c r="AB34" s="100">
        <v>0</v>
      </c>
      <c r="AC34" s="90">
        <v>5</v>
      </c>
      <c r="AD34" s="128" t="s">
        <v>38</v>
      </c>
      <c r="AE34" s="101" t="s">
        <v>38</v>
      </c>
      <c r="AF34" s="101" t="s">
        <v>38</v>
      </c>
      <c r="AG34" s="101" t="s">
        <v>38</v>
      </c>
      <c r="AH34" s="101" t="s">
        <v>38</v>
      </c>
      <c r="AI34" s="101" t="s">
        <v>38</v>
      </c>
      <c r="AJ34" s="93" t="s">
        <v>38</v>
      </c>
      <c r="AK34" s="93" t="s">
        <v>38</v>
      </c>
      <c r="AL34" s="93" t="s">
        <v>38</v>
      </c>
      <c r="AM34" s="93" t="s">
        <v>38</v>
      </c>
      <c r="AN34" s="93" t="s">
        <v>38</v>
      </c>
      <c r="AO34" s="94"/>
      <c r="AP34" s="63"/>
    </row>
    <row r="35" spans="1:42" s="8" customFormat="1" ht="21.95" customHeight="1" x14ac:dyDescent="0.2">
      <c r="A35" s="343" t="s">
        <v>66</v>
      </c>
      <c r="B35" s="263" t="s">
        <v>21</v>
      </c>
      <c r="C35" s="75" t="s">
        <v>38</v>
      </c>
      <c r="D35" s="75" t="s">
        <v>38</v>
      </c>
      <c r="E35" s="75" t="s">
        <v>38</v>
      </c>
      <c r="F35" s="75" t="s">
        <v>38</v>
      </c>
      <c r="G35" s="76" t="s">
        <v>38</v>
      </c>
      <c r="H35" s="76" t="s">
        <v>38</v>
      </c>
      <c r="I35" s="76">
        <v>1</v>
      </c>
      <c r="J35" s="76">
        <v>4</v>
      </c>
      <c r="K35" s="108">
        <f t="shared" si="18"/>
        <v>5</v>
      </c>
      <c r="L35" s="79">
        <v>0</v>
      </c>
      <c r="M35" s="140">
        <f t="shared" si="19"/>
        <v>5</v>
      </c>
      <c r="N35" s="98">
        <v>0</v>
      </c>
      <c r="O35" s="98">
        <f>10.875*1.8</f>
        <v>19.574999999999999</v>
      </c>
      <c r="P35" s="82">
        <f t="shared" si="25"/>
        <v>19.574999999999999</v>
      </c>
      <c r="Q35" s="134">
        <f>P35/30</f>
        <v>0.65249999999999997</v>
      </c>
      <c r="R35" s="84">
        <f t="shared" si="20"/>
        <v>20.553750000000001</v>
      </c>
      <c r="S35" s="135">
        <f>R35/30</f>
        <v>0.68512499999999998</v>
      </c>
      <c r="T35" s="103">
        <v>213</v>
      </c>
      <c r="U35" s="136">
        <v>0</v>
      </c>
      <c r="V35" s="130">
        <f t="shared" si="26"/>
        <v>213</v>
      </c>
      <c r="W35" s="78">
        <f t="shared" si="13"/>
        <v>106.5</v>
      </c>
      <c r="X35" s="87">
        <f t="shared" si="22"/>
        <v>6.0857142857142854</v>
      </c>
      <c r="Y35" s="88">
        <f t="shared" si="14"/>
        <v>7.6071428571428568</v>
      </c>
      <c r="Z35" s="89">
        <f t="shared" ref="Z35:Z44" si="27">Q35-M35</f>
        <v>-4.3475000000000001</v>
      </c>
      <c r="AA35" s="141">
        <f t="shared" ref="AA35:AA44" si="28">X35-M35</f>
        <v>1.0857142857142854</v>
      </c>
      <c r="AB35" s="89">
        <f t="shared" ref="AB35:AB67" si="29">Y35-M35</f>
        <v>2.6071428571428568</v>
      </c>
      <c r="AC35" s="90">
        <v>5</v>
      </c>
      <c r="AD35" s="91">
        <f>P35/30</f>
        <v>0.65249999999999997</v>
      </c>
      <c r="AE35" s="101" t="s">
        <v>38</v>
      </c>
      <c r="AF35" s="101" t="s">
        <v>38</v>
      </c>
      <c r="AG35" s="101" t="s">
        <v>38</v>
      </c>
      <c r="AH35" s="101" t="s">
        <v>38</v>
      </c>
      <c r="AI35" s="101" t="s">
        <v>38</v>
      </c>
      <c r="AJ35" s="93" t="s">
        <v>38</v>
      </c>
      <c r="AK35" s="93" t="s">
        <v>38</v>
      </c>
      <c r="AL35" s="93" t="s">
        <v>38</v>
      </c>
      <c r="AM35" s="93" t="s">
        <v>38</v>
      </c>
      <c r="AN35" s="93" t="s">
        <v>38</v>
      </c>
      <c r="AO35" s="142"/>
      <c r="AP35" s="143"/>
    </row>
    <row r="36" spans="1:42" ht="21.95" customHeight="1" x14ac:dyDescent="0.2">
      <c r="A36" s="343"/>
      <c r="B36" s="263" t="s">
        <v>40</v>
      </c>
      <c r="C36" s="75" t="s">
        <v>38</v>
      </c>
      <c r="D36" s="75" t="s">
        <v>38</v>
      </c>
      <c r="E36" s="75">
        <v>2</v>
      </c>
      <c r="F36" s="75" t="s">
        <v>38</v>
      </c>
      <c r="G36" s="76" t="s">
        <v>38</v>
      </c>
      <c r="H36" s="76" t="s">
        <v>38</v>
      </c>
      <c r="I36" s="76" t="s">
        <v>38</v>
      </c>
      <c r="J36" s="76">
        <v>17</v>
      </c>
      <c r="K36" s="108">
        <f t="shared" si="18"/>
        <v>19</v>
      </c>
      <c r="L36" s="144">
        <v>2</v>
      </c>
      <c r="M36" s="140">
        <f t="shared" si="19"/>
        <v>17</v>
      </c>
      <c r="N36" s="133">
        <v>292.08333333333331</v>
      </c>
      <c r="O36" s="98">
        <v>0</v>
      </c>
      <c r="P36" s="82">
        <f t="shared" si="25"/>
        <v>292.08333333333331</v>
      </c>
      <c r="Q36" s="134">
        <f>P36/25</f>
        <v>11.683333333333332</v>
      </c>
      <c r="R36" s="84">
        <f t="shared" si="20"/>
        <v>306.6875</v>
      </c>
      <c r="S36" s="135">
        <f>R36/25</f>
        <v>12.2675</v>
      </c>
      <c r="T36" s="103">
        <f>118+602</f>
        <v>720</v>
      </c>
      <c r="U36" s="136">
        <v>0</v>
      </c>
      <c r="V36" s="130">
        <f t="shared" si="26"/>
        <v>720</v>
      </c>
      <c r="W36" s="78">
        <f t="shared" si="13"/>
        <v>360</v>
      </c>
      <c r="X36" s="87">
        <f t="shared" si="22"/>
        <v>20.571428571428573</v>
      </c>
      <c r="Y36" s="88">
        <f t="shared" si="14"/>
        <v>25.714285714285715</v>
      </c>
      <c r="Z36" s="89">
        <f t="shared" si="27"/>
        <v>-5.3166666666666682</v>
      </c>
      <c r="AA36" s="141">
        <f t="shared" si="28"/>
        <v>3.571428571428573</v>
      </c>
      <c r="AB36" s="89">
        <f t="shared" si="29"/>
        <v>8.7142857142857153</v>
      </c>
      <c r="AC36" s="145">
        <v>5</v>
      </c>
      <c r="AD36" s="128" t="s">
        <v>38</v>
      </c>
      <c r="AE36" s="94" t="s">
        <v>38</v>
      </c>
      <c r="AF36" s="94">
        <v>1</v>
      </c>
      <c r="AG36" s="94">
        <v>1</v>
      </c>
      <c r="AH36" s="94" t="s">
        <v>38</v>
      </c>
      <c r="AI36" s="146">
        <v>3</v>
      </c>
      <c r="AJ36" s="147" t="s">
        <v>38</v>
      </c>
      <c r="AK36" s="147" t="s">
        <v>38</v>
      </c>
      <c r="AL36" s="147" t="s">
        <v>38</v>
      </c>
      <c r="AM36" s="147" t="s">
        <v>38</v>
      </c>
      <c r="AN36" s="147" t="s">
        <v>38</v>
      </c>
      <c r="AO36" s="94" t="s">
        <v>132</v>
      </c>
      <c r="AP36" s="63"/>
    </row>
    <row r="37" spans="1:42" ht="21.75" customHeight="1" x14ac:dyDescent="0.2">
      <c r="A37" s="343"/>
      <c r="B37" s="263" t="s">
        <v>41</v>
      </c>
      <c r="C37" s="75" t="s">
        <v>38</v>
      </c>
      <c r="D37" s="75" t="s">
        <v>38</v>
      </c>
      <c r="E37" s="75" t="s">
        <v>38</v>
      </c>
      <c r="F37" s="75" t="s">
        <v>38</v>
      </c>
      <c r="G37" s="76" t="s">
        <v>38</v>
      </c>
      <c r="H37" s="76" t="s">
        <v>38</v>
      </c>
      <c r="I37" s="76">
        <v>2</v>
      </c>
      <c r="J37" s="76">
        <v>3</v>
      </c>
      <c r="K37" s="108">
        <f t="shared" si="18"/>
        <v>5</v>
      </c>
      <c r="L37" s="144">
        <v>0</v>
      </c>
      <c r="M37" s="140">
        <f t="shared" si="19"/>
        <v>5</v>
      </c>
      <c r="N37" s="133">
        <v>255.36111111111111</v>
      </c>
      <c r="O37" s="98">
        <v>0</v>
      </c>
      <c r="P37" s="82">
        <f t="shared" si="25"/>
        <v>255.36111111111111</v>
      </c>
      <c r="Q37" s="134">
        <f>P37/25</f>
        <v>10.214444444444444</v>
      </c>
      <c r="R37" s="84">
        <f t="shared" si="20"/>
        <v>268.12916666666666</v>
      </c>
      <c r="S37" s="135">
        <f>R37/25</f>
        <v>10.725166666666667</v>
      </c>
      <c r="T37" s="103">
        <v>171</v>
      </c>
      <c r="U37" s="136">
        <v>0</v>
      </c>
      <c r="V37" s="130">
        <f t="shared" si="26"/>
        <v>171</v>
      </c>
      <c r="W37" s="78">
        <f t="shared" si="13"/>
        <v>85.5</v>
      </c>
      <c r="X37" s="87">
        <f t="shared" si="22"/>
        <v>4.8857142857142861</v>
      </c>
      <c r="Y37" s="88">
        <f t="shared" si="14"/>
        <v>6.1071428571428568</v>
      </c>
      <c r="Z37" s="89">
        <f t="shared" si="27"/>
        <v>5.2144444444444442</v>
      </c>
      <c r="AA37" s="141">
        <f t="shared" si="28"/>
        <v>-0.11428571428571388</v>
      </c>
      <c r="AB37" s="89">
        <f t="shared" si="29"/>
        <v>1.1071428571428568</v>
      </c>
      <c r="AC37" s="145">
        <v>5</v>
      </c>
      <c r="AD37" s="128" t="s">
        <v>38</v>
      </c>
      <c r="AE37" s="94" t="s">
        <v>38</v>
      </c>
      <c r="AF37" s="94" t="s">
        <v>38</v>
      </c>
      <c r="AG37" s="94" t="s">
        <v>38</v>
      </c>
      <c r="AH37" s="94" t="s">
        <v>38</v>
      </c>
      <c r="AI37" s="94" t="s">
        <v>38</v>
      </c>
      <c r="AJ37" s="147" t="s">
        <v>38</v>
      </c>
      <c r="AK37" s="147" t="s">
        <v>38</v>
      </c>
      <c r="AL37" s="147" t="s">
        <v>38</v>
      </c>
      <c r="AM37" s="147" t="s">
        <v>38</v>
      </c>
      <c r="AN37" s="147" t="s">
        <v>38</v>
      </c>
      <c r="AO37" s="94" t="s">
        <v>134</v>
      </c>
      <c r="AP37" s="63"/>
    </row>
    <row r="38" spans="1:42" ht="21.75" customHeight="1" x14ac:dyDescent="0.2">
      <c r="A38" s="343"/>
      <c r="B38" s="263" t="s">
        <v>20</v>
      </c>
      <c r="C38" s="75" t="s">
        <v>38</v>
      </c>
      <c r="D38" s="75" t="s">
        <v>38</v>
      </c>
      <c r="E38" s="75">
        <v>2</v>
      </c>
      <c r="F38" s="75" t="s">
        <v>38</v>
      </c>
      <c r="G38" s="76" t="s">
        <v>38</v>
      </c>
      <c r="H38" s="76" t="s">
        <v>38</v>
      </c>
      <c r="I38" s="76">
        <v>1</v>
      </c>
      <c r="J38" s="76" t="s">
        <v>38</v>
      </c>
      <c r="K38" s="108">
        <f t="shared" si="18"/>
        <v>3</v>
      </c>
      <c r="L38" s="144">
        <v>0</v>
      </c>
      <c r="M38" s="140">
        <f t="shared" si="19"/>
        <v>3</v>
      </c>
      <c r="N38" s="81">
        <v>10.875</v>
      </c>
      <c r="O38" s="98">
        <v>0</v>
      </c>
      <c r="P38" s="82">
        <f t="shared" si="25"/>
        <v>10.875</v>
      </c>
      <c r="Q38" s="134">
        <f>P38/30</f>
        <v>0.36249999999999999</v>
      </c>
      <c r="R38" s="84">
        <f t="shared" si="20"/>
        <v>11.418749999999999</v>
      </c>
      <c r="S38" s="135">
        <f>R38/30</f>
        <v>0.38062499999999999</v>
      </c>
      <c r="T38" s="103">
        <v>62</v>
      </c>
      <c r="U38" s="136">
        <v>0</v>
      </c>
      <c r="V38" s="130">
        <f t="shared" si="26"/>
        <v>62</v>
      </c>
      <c r="W38" s="78">
        <f t="shared" si="13"/>
        <v>31</v>
      </c>
      <c r="X38" s="87">
        <f t="shared" si="22"/>
        <v>1.7714285714285714</v>
      </c>
      <c r="Y38" s="88">
        <f t="shared" si="14"/>
        <v>2.2142857142857144</v>
      </c>
      <c r="Z38" s="89">
        <f t="shared" si="27"/>
        <v>-2.6375000000000002</v>
      </c>
      <c r="AA38" s="141">
        <f t="shared" si="28"/>
        <v>-1.2285714285714286</v>
      </c>
      <c r="AB38" s="89">
        <f t="shared" si="29"/>
        <v>-0.78571428571428559</v>
      </c>
      <c r="AC38" s="145">
        <v>3</v>
      </c>
      <c r="AD38" s="128" t="s">
        <v>38</v>
      </c>
      <c r="AE38" s="94" t="s">
        <v>38</v>
      </c>
      <c r="AF38" s="94" t="s">
        <v>38</v>
      </c>
      <c r="AG38" s="94" t="s">
        <v>38</v>
      </c>
      <c r="AH38" s="94" t="s">
        <v>38</v>
      </c>
      <c r="AI38" s="94" t="s">
        <v>38</v>
      </c>
      <c r="AJ38" s="147" t="s">
        <v>38</v>
      </c>
      <c r="AK38" s="147" t="s">
        <v>38</v>
      </c>
      <c r="AL38" s="147" t="s">
        <v>38</v>
      </c>
      <c r="AM38" s="147" t="s">
        <v>38</v>
      </c>
      <c r="AN38" s="147" t="s">
        <v>38</v>
      </c>
      <c r="AO38" s="146"/>
      <c r="AP38" s="63"/>
    </row>
    <row r="39" spans="1:42" ht="21.75" customHeight="1" x14ac:dyDescent="0.2">
      <c r="A39" s="343" t="s">
        <v>67</v>
      </c>
      <c r="B39" s="263" t="s">
        <v>110</v>
      </c>
      <c r="C39" s="75" t="s">
        <v>26</v>
      </c>
      <c r="D39" s="75">
        <v>1</v>
      </c>
      <c r="E39" s="75" t="s">
        <v>38</v>
      </c>
      <c r="F39" s="75" t="s">
        <v>38</v>
      </c>
      <c r="G39" s="76" t="s">
        <v>38</v>
      </c>
      <c r="H39" s="76" t="s">
        <v>38</v>
      </c>
      <c r="I39" s="76">
        <v>1</v>
      </c>
      <c r="J39" s="76" t="s">
        <v>38</v>
      </c>
      <c r="K39" s="130">
        <f t="shared" si="18"/>
        <v>2</v>
      </c>
      <c r="L39" s="131">
        <v>0</v>
      </c>
      <c r="M39" s="132">
        <f t="shared" si="19"/>
        <v>2</v>
      </c>
      <c r="N39" s="81">
        <v>0</v>
      </c>
      <c r="O39" s="81">
        <f>7.5*1.8</f>
        <v>13.5</v>
      </c>
      <c r="P39" s="82">
        <f t="shared" si="25"/>
        <v>13.5</v>
      </c>
      <c r="Q39" s="134">
        <f>P39/25</f>
        <v>0.54</v>
      </c>
      <c r="R39" s="84">
        <f t="shared" si="20"/>
        <v>14.175000000000001</v>
      </c>
      <c r="S39" s="135">
        <f>R39/25</f>
        <v>0.56700000000000006</v>
      </c>
      <c r="T39" s="96">
        <v>0</v>
      </c>
      <c r="U39" s="86">
        <v>52</v>
      </c>
      <c r="V39" s="136">
        <f>SUM(U39:U39)</f>
        <v>52</v>
      </c>
      <c r="W39" s="78">
        <f t="shared" si="13"/>
        <v>26</v>
      </c>
      <c r="X39" s="87">
        <f t="shared" si="22"/>
        <v>1.4857142857142858</v>
      </c>
      <c r="Y39" s="88">
        <f t="shared" si="14"/>
        <v>1.8571428571428572</v>
      </c>
      <c r="Z39" s="89">
        <f t="shared" si="27"/>
        <v>-1.46</v>
      </c>
      <c r="AA39" s="141">
        <f t="shared" si="28"/>
        <v>-0.51428571428571423</v>
      </c>
      <c r="AB39" s="89">
        <f t="shared" si="29"/>
        <v>-0.14285714285714279</v>
      </c>
      <c r="AC39" s="145">
        <v>3</v>
      </c>
      <c r="AD39" s="128" t="s">
        <v>38</v>
      </c>
      <c r="AE39" s="94" t="s">
        <v>38</v>
      </c>
      <c r="AF39" s="94" t="s">
        <v>38</v>
      </c>
      <c r="AG39" s="94" t="s">
        <v>38</v>
      </c>
      <c r="AH39" s="94" t="s">
        <v>38</v>
      </c>
      <c r="AI39" s="94" t="s">
        <v>38</v>
      </c>
      <c r="AJ39" s="147" t="s">
        <v>38</v>
      </c>
      <c r="AK39" s="147" t="s">
        <v>38</v>
      </c>
      <c r="AL39" s="147" t="s">
        <v>38</v>
      </c>
      <c r="AM39" s="147" t="s">
        <v>38</v>
      </c>
      <c r="AN39" s="147" t="s">
        <v>38</v>
      </c>
      <c r="AO39" s="146"/>
      <c r="AP39" s="63"/>
    </row>
    <row r="40" spans="1:42" ht="21.75" customHeight="1" x14ac:dyDescent="0.2">
      <c r="A40" s="343"/>
      <c r="B40" s="263" t="s">
        <v>111</v>
      </c>
      <c r="C40" s="75" t="s">
        <v>38</v>
      </c>
      <c r="D40" s="75" t="s">
        <v>38</v>
      </c>
      <c r="E40" s="75">
        <v>1</v>
      </c>
      <c r="F40" s="75" t="s">
        <v>38</v>
      </c>
      <c r="G40" s="76" t="s">
        <v>38</v>
      </c>
      <c r="H40" s="76" t="s">
        <v>38</v>
      </c>
      <c r="I40" s="76">
        <v>2</v>
      </c>
      <c r="J40" s="76" t="s">
        <v>38</v>
      </c>
      <c r="K40" s="130">
        <f t="shared" si="18"/>
        <v>3</v>
      </c>
      <c r="L40" s="131">
        <v>0</v>
      </c>
      <c r="M40" s="132">
        <f t="shared" si="19"/>
        <v>3</v>
      </c>
      <c r="N40" s="98">
        <v>0</v>
      </c>
      <c r="O40" s="81">
        <f>19.1666666666667*1.8</f>
        <v>34.500000000000064</v>
      </c>
      <c r="P40" s="82">
        <f t="shared" si="25"/>
        <v>34.500000000000064</v>
      </c>
      <c r="Q40" s="134">
        <f>P40/25</f>
        <v>1.3800000000000026</v>
      </c>
      <c r="R40" s="84">
        <f t="shared" si="20"/>
        <v>36.225000000000065</v>
      </c>
      <c r="S40" s="135">
        <f>R40/25</f>
        <v>1.4490000000000025</v>
      </c>
      <c r="T40" s="96">
        <v>0</v>
      </c>
      <c r="U40" s="86">
        <v>52</v>
      </c>
      <c r="V40" s="136">
        <f>SUM(U40:U40)</f>
        <v>52</v>
      </c>
      <c r="W40" s="78">
        <f t="shared" si="13"/>
        <v>26</v>
      </c>
      <c r="X40" s="87">
        <f t="shared" si="22"/>
        <v>1.4857142857142858</v>
      </c>
      <c r="Y40" s="88">
        <f t="shared" si="14"/>
        <v>1.8571428571428572</v>
      </c>
      <c r="Z40" s="89">
        <f t="shared" si="27"/>
        <v>-1.6199999999999974</v>
      </c>
      <c r="AA40" s="141">
        <f t="shared" si="28"/>
        <v>-1.5142857142857142</v>
      </c>
      <c r="AB40" s="89">
        <f t="shared" si="29"/>
        <v>-1.1428571428571428</v>
      </c>
      <c r="AC40" s="145">
        <v>3</v>
      </c>
      <c r="AD40" s="128" t="s">
        <v>38</v>
      </c>
      <c r="AE40" s="94" t="s">
        <v>38</v>
      </c>
      <c r="AF40" s="94" t="s">
        <v>38</v>
      </c>
      <c r="AG40" s="94" t="s">
        <v>38</v>
      </c>
      <c r="AH40" s="94" t="s">
        <v>38</v>
      </c>
      <c r="AI40" s="94" t="s">
        <v>38</v>
      </c>
      <c r="AJ40" s="147" t="s">
        <v>38</v>
      </c>
      <c r="AK40" s="147" t="s">
        <v>38</v>
      </c>
      <c r="AL40" s="147" t="s">
        <v>38</v>
      </c>
      <c r="AM40" s="147" t="s">
        <v>38</v>
      </c>
      <c r="AN40" s="147" t="s">
        <v>38</v>
      </c>
      <c r="AO40" s="146"/>
      <c r="AP40" s="63"/>
    </row>
    <row r="41" spans="1:42" ht="21.75" customHeight="1" x14ac:dyDescent="0.2">
      <c r="A41" s="343"/>
      <c r="B41" s="263" t="s">
        <v>25</v>
      </c>
      <c r="C41" s="75" t="s">
        <v>38</v>
      </c>
      <c r="D41" s="75" t="s">
        <v>38</v>
      </c>
      <c r="E41" s="75">
        <v>1</v>
      </c>
      <c r="F41" s="75" t="s">
        <v>38</v>
      </c>
      <c r="G41" s="76" t="s">
        <v>38</v>
      </c>
      <c r="H41" s="76" t="s">
        <v>38</v>
      </c>
      <c r="I41" s="76">
        <v>1</v>
      </c>
      <c r="J41" s="76">
        <v>3</v>
      </c>
      <c r="K41" s="130">
        <f t="shared" si="18"/>
        <v>5</v>
      </c>
      <c r="L41" s="131">
        <v>0</v>
      </c>
      <c r="M41" s="132">
        <f t="shared" si="19"/>
        <v>5</v>
      </c>
      <c r="N41" s="133">
        <v>627.69444444444446</v>
      </c>
      <c r="O41" s="98">
        <v>0</v>
      </c>
      <c r="P41" s="82">
        <f t="shared" si="25"/>
        <v>627.69444444444446</v>
      </c>
      <c r="Q41" s="134">
        <f>P41/25</f>
        <v>25.107777777777777</v>
      </c>
      <c r="R41" s="84">
        <f t="shared" si="20"/>
        <v>659.07916666666665</v>
      </c>
      <c r="S41" s="135">
        <f>R41/25</f>
        <v>26.363166666666665</v>
      </c>
      <c r="T41" s="103">
        <v>317</v>
      </c>
      <c r="U41" s="136">
        <v>0</v>
      </c>
      <c r="V41" s="136">
        <f t="shared" ref="V41:V47" si="30">SUM(T41:U41)</f>
        <v>317</v>
      </c>
      <c r="W41" s="78">
        <f t="shared" si="13"/>
        <v>158.5</v>
      </c>
      <c r="X41" s="87">
        <f t="shared" si="22"/>
        <v>9.0571428571428569</v>
      </c>
      <c r="Y41" s="88">
        <f t="shared" si="14"/>
        <v>11.321428571428571</v>
      </c>
      <c r="Z41" s="89">
        <f t="shared" si="27"/>
        <v>20.107777777777777</v>
      </c>
      <c r="AA41" s="141">
        <f t="shared" si="28"/>
        <v>4.0571428571428569</v>
      </c>
      <c r="AB41" s="89">
        <f t="shared" si="29"/>
        <v>6.3214285714285712</v>
      </c>
      <c r="AC41" s="145">
        <v>5</v>
      </c>
      <c r="AD41" s="128" t="s">
        <v>38</v>
      </c>
      <c r="AE41" s="94">
        <v>2</v>
      </c>
      <c r="AF41" s="94" t="s">
        <v>38</v>
      </c>
      <c r="AG41" s="94" t="s">
        <v>38</v>
      </c>
      <c r="AH41" s="94" t="s">
        <v>38</v>
      </c>
      <c r="AI41" s="94" t="s">
        <v>38</v>
      </c>
      <c r="AJ41" s="147" t="s">
        <v>38</v>
      </c>
      <c r="AK41" s="147">
        <v>2</v>
      </c>
      <c r="AL41" s="147" t="s">
        <v>38</v>
      </c>
      <c r="AM41" s="147" t="s">
        <v>38</v>
      </c>
      <c r="AN41" s="147" t="s">
        <v>38</v>
      </c>
      <c r="AO41" s="146" t="s">
        <v>135</v>
      </c>
      <c r="AP41" s="63"/>
    </row>
    <row r="42" spans="1:42" ht="21.75" customHeight="1" x14ac:dyDescent="0.2">
      <c r="A42" s="127" t="s">
        <v>68</v>
      </c>
      <c r="B42" s="263" t="s">
        <v>21</v>
      </c>
      <c r="C42" s="75" t="s">
        <v>38</v>
      </c>
      <c r="D42" s="75" t="s">
        <v>38</v>
      </c>
      <c r="E42" s="75">
        <v>1</v>
      </c>
      <c r="F42" s="75" t="s">
        <v>38</v>
      </c>
      <c r="G42" s="76" t="s">
        <v>38</v>
      </c>
      <c r="H42" s="76" t="s">
        <v>38</v>
      </c>
      <c r="I42" s="76">
        <v>3</v>
      </c>
      <c r="J42" s="77">
        <v>4</v>
      </c>
      <c r="K42" s="130">
        <f t="shared" si="18"/>
        <v>8</v>
      </c>
      <c r="L42" s="131">
        <v>0</v>
      </c>
      <c r="M42" s="132">
        <f t="shared" si="19"/>
        <v>8</v>
      </c>
      <c r="N42" s="81">
        <v>153.77777777777777</v>
      </c>
      <c r="O42" s="81">
        <v>0</v>
      </c>
      <c r="P42" s="82">
        <f t="shared" si="25"/>
        <v>153.77777777777777</v>
      </c>
      <c r="Q42" s="83">
        <f>P42/30</f>
        <v>5.1259259259259258</v>
      </c>
      <c r="R42" s="84">
        <f t="shared" si="20"/>
        <v>161.46666666666667</v>
      </c>
      <c r="S42" s="83">
        <f>R42/30</f>
        <v>5.3822222222222225</v>
      </c>
      <c r="T42" s="103">
        <f>220+389</f>
        <v>609</v>
      </c>
      <c r="U42" s="85">
        <v>0</v>
      </c>
      <c r="V42" s="136">
        <f t="shared" si="30"/>
        <v>609</v>
      </c>
      <c r="W42" s="78">
        <f t="shared" si="13"/>
        <v>304.5</v>
      </c>
      <c r="X42" s="87">
        <f t="shared" si="22"/>
        <v>17.399999999999999</v>
      </c>
      <c r="Y42" s="88">
        <f t="shared" si="14"/>
        <v>21.75</v>
      </c>
      <c r="Z42" s="89">
        <f t="shared" si="27"/>
        <v>-2.8740740740740742</v>
      </c>
      <c r="AA42" s="141">
        <f t="shared" si="28"/>
        <v>9.3999999999999986</v>
      </c>
      <c r="AB42" s="89">
        <f t="shared" si="29"/>
        <v>13.75</v>
      </c>
      <c r="AC42" s="145">
        <v>5</v>
      </c>
      <c r="AD42" s="91">
        <f>P42/30</f>
        <v>5.1259259259259258</v>
      </c>
      <c r="AE42" s="94">
        <v>1</v>
      </c>
      <c r="AF42" s="94" t="s">
        <v>38</v>
      </c>
      <c r="AG42" s="94" t="s">
        <v>38</v>
      </c>
      <c r="AH42" s="94" t="s">
        <v>38</v>
      </c>
      <c r="AI42" s="94" t="s">
        <v>38</v>
      </c>
      <c r="AJ42" s="147" t="s">
        <v>38</v>
      </c>
      <c r="AK42" s="147" t="s">
        <v>38</v>
      </c>
      <c r="AL42" s="147" t="s">
        <v>38</v>
      </c>
      <c r="AM42" s="147" t="s">
        <v>38</v>
      </c>
      <c r="AN42" s="147" t="s">
        <v>38</v>
      </c>
      <c r="AO42" s="94" t="s">
        <v>132</v>
      </c>
      <c r="AP42" s="63"/>
    </row>
    <row r="43" spans="1:42" ht="21.75" customHeight="1" x14ac:dyDescent="0.2">
      <c r="A43" s="127" t="s">
        <v>69</v>
      </c>
      <c r="B43" s="263" t="s">
        <v>22</v>
      </c>
      <c r="C43" s="75" t="s">
        <v>38</v>
      </c>
      <c r="D43" s="75" t="s">
        <v>38</v>
      </c>
      <c r="E43" s="75" t="s">
        <v>38</v>
      </c>
      <c r="F43" s="75">
        <v>1</v>
      </c>
      <c r="G43" s="76" t="s">
        <v>38</v>
      </c>
      <c r="H43" s="76" t="s">
        <v>38</v>
      </c>
      <c r="I43" s="76">
        <v>2</v>
      </c>
      <c r="J43" s="77">
        <v>2</v>
      </c>
      <c r="K43" s="78">
        <f t="shared" si="18"/>
        <v>5</v>
      </c>
      <c r="L43" s="79">
        <v>0</v>
      </c>
      <c r="M43" s="124">
        <f t="shared" si="19"/>
        <v>5</v>
      </c>
      <c r="N43" s="81">
        <v>75.611111111111114</v>
      </c>
      <c r="O43" s="81">
        <v>0</v>
      </c>
      <c r="P43" s="82">
        <f t="shared" si="25"/>
        <v>75.611111111111114</v>
      </c>
      <c r="Q43" s="83">
        <f>P43/8</f>
        <v>9.4513888888888893</v>
      </c>
      <c r="R43" s="84">
        <f t="shared" si="20"/>
        <v>79.391666666666666</v>
      </c>
      <c r="S43" s="83">
        <f>R43/8</f>
        <v>9.9239583333333332</v>
      </c>
      <c r="T43" s="103">
        <v>211</v>
      </c>
      <c r="U43" s="85">
        <v>0</v>
      </c>
      <c r="V43" s="136">
        <f t="shared" si="30"/>
        <v>211</v>
      </c>
      <c r="W43" s="78">
        <f t="shared" si="13"/>
        <v>105.5</v>
      </c>
      <c r="X43" s="87">
        <f t="shared" si="22"/>
        <v>6.0285714285714285</v>
      </c>
      <c r="Y43" s="88">
        <f t="shared" si="14"/>
        <v>7.5357142857142856</v>
      </c>
      <c r="Z43" s="89">
        <f t="shared" si="27"/>
        <v>4.4513888888888893</v>
      </c>
      <c r="AA43" s="141">
        <f t="shared" si="28"/>
        <v>1.0285714285714285</v>
      </c>
      <c r="AB43" s="89">
        <f t="shared" si="29"/>
        <v>2.5357142857142856</v>
      </c>
      <c r="AC43" s="145">
        <v>5</v>
      </c>
      <c r="AD43" s="128" t="s">
        <v>38</v>
      </c>
      <c r="AE43" s="94" t="s">
        <v>38</v>
      </c>
      <c r="AF43" s="94" t="s">
        <v>38</v>
      </c>
      <c r="AG43" s="94" t="s">
        <v>38</v>
      </c>
      <c r="AH43" s="94" t="s">
        <v>38</v>
      </c>
      <c r="AI43" s="94" t="s">
        <v>38</v>
      </c>
      <c r="AJ43" s="147" t="s">
        <v>38</v>
      </c>
      <c r="AK43" s="147" t="s">
        <v>38</v>
      </c>
      <c r="AL43" s="147" t="s">
        <v>38</v>
      </c>
      <c r="AM43" s="147" t="s">
        <v>38</v>
      </c>
      <c r="AN43" s="147" t="s">
        <v>38</v>
      </c>
      <c r="AO43" s="146" t="s">
        <v>136</v>
      </c>
      <c r="AP43" s="63"/>
    </row>
    <row r="44" spans="1:42" ht="21.75" customHeight="1" x14ac:dyDescent="0.2">
      <c r="A44" s="127" t="s">
        <v>70</v>
      </c>
      <c r="B44" s="263" t="s">
        <v>24</v>
      </c>
      <c r="C44" s="75" t="s">
        <v>38</v>
      </c>
      <c r="D44" s="75" t="s">
        <v>38</v>
      </c>
      <c r="E44" s="75">
        <v>1</v>
      </c>
      <c r="F44" s="75" t="s">
        <v>38</v>
      </c>
      <c r="G44" s="76" t="s">
        <v>38</v>
      </c>
      <c r="H44" s="76" t="s">
        <v>38</v>
      </c>
      <c r="I44" s="76">
        <v>1</v>
      </c>
      <c r="J44" s="77">
        <v>3</v>
      </c>
      <c r="K44" s="78">
        <f t="shared" si="18"/>
        <v>5</v>
      </c>
      <c r="L44" s="79">
        <v>0</v>
      </c>
      <c r="M44" s="124">
        <f t="shared" si="19"/>
        <v>5</v>
      </c>
      <c r="N44" s="81">
        <v>125.66666666666666</v>
      </c>
      <c r="O44" s="81">
        <v>0</v>
      </c>
      <c r="P44" s="82">
        <f t="shared" si="25"/>
        <v>125.66666666666666</v>
      </c>
      <c r="Q44" s="83">
        <f>P44/25</f>
        <v>5.0266666666666664</v>
      </c>
      <c r="R44" s="84">
        <f t="shared" si="20"/>
        <v>131.94999999999999</v>
      </c>
      <c r="S44" s="83">
        <f>R44/25</f>
        <v>5.2779999999999996</v>
      </c>
      <c r="T44" s="103">
        <v>108</v>
      </c>
      <c r="U44" s="85">
        <v>0</v>
      </c>
      <c r="V44" s="136">
        <f t="shared" si="30"/>
        <v>108</v>
      </c>
      <c r="W44" s="78">
        <f t="shared" si="13"/>
        <v>54</v>
      </c>
      <c r="X44" s="87">
        <f t="shared" si="22"/>
        <v>3.0857142857142859</v>
      </c>
      <c r="Y44" s="88">
        <f t="shared" si="14"/>
        <v>3.8571428571428572</v>
      </c>
      <c r="Z44" s="89">
        <f t="shared" si="27"/>
        <v>2.6666666666666394E-2</v>
      </c>
      <c r="AA44" s="141">
        <f t="shared" si="28"/>
        <v>-1.9142857142857141</v>
      </c>
      <c r="AB44" s="89">
        <f t="shared" si="29"/>
        <v>-1.1428571428571428</v>
      </c>
      <c r="AC44" s="145">
        <v>5</v>
      </c>
      <c r="AD44" s="128" t="s">
        <v>38</v>
      </c>
      <c r="AE44" s="94" t="s">
        <v>38</v>
      </c>
      <c r="AF44" s="94">
        <v>1</v>
      </c>
      <c r="AG44" s="94" t="s">
        <v>38</v>
      </c>
      <c r="AH44" s="94" t="s">
        <v>38</v>
      </c>
      <c r="AI44" s="94" t="s">
        <v>38</v>
      </c>
      <c r="AJ44" s="147" t="s">
        <v>38</v>
      </c>
      <c r="AK44" s="147" t="s">
        <v>38</v>
      </c>
      <c r="AL44" s="147" t="s">
        <v>38</v>
      </c>
      <c r="AM44" s="147" t="s">
        <v>38</v>
      </c>
      <c r="AN44" s="147" t="s">
        <v>38</v>
      </c>
      <c r="AO44" s="146"/>
      <c r="AP44" s="63"/>
    </row>
    <row r="45" spans="1:42" ht="21.75" customHeight="1" x14ac:dyDescent="0.2">
      <c r="A45" s="127" t="s">
        <v>199</v>
      </c>
      <c r="B45" s="263" t="s">
        <v>198</v>
      </c>
      <c r="C45" s="75" t="s">
        <v>38</v>
      </c>
      <c r="D45" s="75" t="s">
        <v>38</v>
      </c>
      <c r="E45" s="75" t="s">
        <v>38</v>
      </c>
      <c r="F45" s="75">
        <v>1</v>
      </c>
      <c r="G45" s="76" t="s">
        <v>38</v>
      </c>
      <c r="H45" s="76" t="s">
        <v>38</v>
      </c>
      <c r="I45" s="76">
        <v>2</v>
      </c>
      <c r="J45" s="76">
        <v>2</v>
      </c>
      <c r="K45" s="130">
        <f>SUM(D45:J45)</f>
        <v>5</v>
      </c>
      <c r="L45" s="131">
        <v>0</v>
      </c>
      <c r="M45" s="132">
        <f>K45-L45</f>
        <v>5</v>
      </c>
      <c r="N45" s="133">
        <v>93.944444444444443</v>
      </c>
      <c r="O45" s="98">
        <v>0</v>
      </c>
      <c r="P45" s="82">
        <f>SUM(N45:O45)</f>
        <v>93.944444444444443</v>
      </c>
      <c r="Q45" s="134">
        <f>P45/25</f>
        <v>3.7577777777777777</v>
      </c>
      <c r="R45" s="84">
        <f>(P45*0.05)+P45</f>
        <v>98.641666666666666</v>
      </c>
      <c r="S45" s="135">
        <f>R45/25</f>
        <v>3.9456666666666664</v>
      </c>
      <c r="T45" s="136">
        <f>75+24</f>
        <v>99</v>
      </c>
      <c r="U45" s="136">
        <v>0</v>
      </c>
      <c r="V45" s="136">
        <f>SUM(T45:U45)</f>
        <v>99</v>
      </c>
      <c r="W45" s="78">
        <f>V45/2</f>
        <v>49.5</v>
      </c>
      <c r="X45" s="87">
        <f>V45/35</f>
        <v>2.8285714285714287</v>
      </c>
      <c r="Y45" s="88">
        <f>W45/14</f>
        <v>3.5357142857142856</v>
      </c>
      <c r="Z45" s="89">
        <f>Q45-M45</f>
        <v>-1.2422222222222223</v>
      </c>
      <c r="AA45" s="141">
        <f>X45-M45</f>
        <v>-2.1714285714285713</v>
      </c>
      <c r="AB45" s="89">
        <f>Y45-M45</f>
        <v>-1.4642857142857144</v>
      </c>
      <c r="AC45" s="145">
        <v>5</v>
      </c>
      <c r="AD45" s="128" t="s">
        <v>38</v>
      </c>
      <c r="AE45" s="94" t="s">
        <v>38</v>
      </c>
      <c r="AF45" s="94" t="s">
        <v>38</v>
      </c>
      <c r="AG45" s="94" t="s">
        <v>38</v>
      </c>
      <c r="AH45" s="94" t="s">
        <v>38</v>
      </c>
      <c r="AI45" s="94" t="s">
        <v>38</v>
      </c>
      <c r="AJ45" s="147" t="s">
        <v>38</v>
      </c>
      <c r="AK45" s="147" t="s">
        <v>38</v>
      </c>
      <c r="AL45" s="147" t="s">
        <v>38</v>
      </c>
      <c r="AM45" s="147" t="s">
        <v>38</v>
      </c>
      <c r="AN45" s="147" t="s">
        <v>38</v>
      </c>
      <c r="AO45" s="146"/>
      <c r="AP45" s="63"/>
    </row>
    <row r="46" spans="1:42" s="18" customFormat="1" ht="21.75" customHeight="1" x14ac:dyDescent="0.2">
      <c r="A46" s="148" t="s">
        <v>71</v>
      </c>
      <c r="B46" s="265"/>
      <c r="C46" s="149">
        <f t="shared" ref="C46:Q46" si="31">SUM(C47:C73)</f>
        <v>0</v>
      </c>
      <c r="D46" s="149">
        <f t="shared" si="31"/>
        <v>4</v>
      </c>
      <c r="E46" s="149">
        <f t="shared" si="31"/>
        <v>23</v>
      </c>
      <c r="F46" s="149">
        <f t="shared" si="31"/>
        <v>13</v>
      </c>
      <c r="G46" s="149">
        <f t="shared" si="31"/>
        <v>0</v>
      </c>
      <c r="H46" s="149">
        <f t="shared" si="31"/>
        <v>2</v>
      </c>
      <c r="I46" s="149">
        <f t="shared" si="31"/>
        <v>43</v>
      </c>
      <c r="J46" s="149">
        <f t="shared" si="31"/>
        <v>64</v>
      </c>
      <c r="K46" s="150">
        <f t="shared" si="31"/>
        <v>149</v>
      </c>
      <c r="L46" s="150">
        <f t="shared" si="31"/>
        <v>9</v>
      </c>
      <c r="M46" s="151">
        <f t="shared" si="31"/>
        <v>140</v>
      </c>
      <c r="N46" s="67">
        <f t="shared" si="31"/>
        <v>2282.0855555555554</v>
      </c>
      <c r="O46" s="67">
        <f t="shared" si="31"/>
        <v>45.874999999999993</v>
      </c>
      <c r="P46" s="67">
        <f t="shared" si="31"/>
        <v>2327.9605555555554</v>
      </c>
      <c r="Q46" s="66">
        <f t="shared" si="31"/>
        <v>100.51563888888892</v>
      </c>
      <c r="R46" s="152">
        <f t="shared" si="20"/>
        <v>2444.3585833333332</v>
      </c>
      <c r="S46" s="66">
        <f>SUM(S47:S73)</f>
        <v>108.00647083333335</v>
      </c>
      <c r="T46" s="65">
        <f>SUM(T47:T73)</f>
        <v>3793</v>
      </c>
      <c r="U46" s="153">
        <v>0</v>
      </c>
      <c r="V46" s="154">
        <f t="shared" si="30"/>
        <v>3793</v>
      </c>
      <c r="W46" s="65">
        <f t="shared" si="13"/>
        <v>1896.5</v>
      </c>
      <c r="X46" s="155">
        <f t="shared" si="22"/>
        <v>108.37142857142857</v>
      </c>
      <c r="Y46" s="155">
        <f t="shared" si="14"/>
        <v>135.46428571428572</v>
      </c>
      <c r="Z46" s="69">
        <f>SUM(Z47:Z73)</f>
        <v>-39.484361111111113</v>
      </c>
      <c r="AA46" s="69">
        <f>SUM(AA47:AA73)</f>
        <v>-21.657142857142858</v>
      </c>
      <c r="AB46" s="69">
        <f t="shared" si="29"/>
        <v>-4.5357142857142776</v>
      </c>
      <c r="AC46" s="66">
        <f>SUM(AC47:AC73)</f>
        <v>123</v>
      </c>
      <c r="AD46" s="66">
        <v>0</v>
      </c>
      <c r="AE46" s="151">
        <f t="shared" ref="AE46:AN46" si="32">SUM(AE47:AE73)</f>
        <v>1</v>
      </c>
      <c r="AF46" s="151">
        <f t="shared" si="32"/>
        <v>3</v>
      </c>
      <c r="AG46" s="151">
        <f t="shared" si="32"/>
        <v>2</v>
      </c>
      <c r="AH46" s="151">
        <f t="shared" si="32"/>
        <v>5</v>
      </c>
      <c r="AI46" s="151">
        <f t="shared" si="32"/>
        <v>0</v>
      </c>
      <c r="AJ46" s="66">
        <f t="shared" si="32"/>
        <v>0</v>
      </c>
      <c r="AK46" s="66">
        <f t="shared" si="32"/>
        <v>0</v>
      </c>
      <c r="AL46" s="66">
        <f t="shared" si="32"/>
        <v>0</v>
      </c>
      <c r="AM46" s="66">
        <f t="shared" si="32"/>
        <v>0</v>
      </c>
      <c r="AN46" s="66">
        <f t="shared" si="32"/>
        <v>0</v>
      </c>
      <c r="AO46" s="156"/>
      <c r="AP46" s="72"/>
    </row>
    <row r="47" spans="1:42" ht="21.75" customHeight="1" x14ac:dyDescent="0.2">
      <c r="A47" s="157" t="s">
        <v>72</v>
      </c>
      <c r="B47" s="263" t="s">
        <v>27</v>
      </c>
      <c r="C47" s="158" t="s">
        <v>38</v>
      </c>
      <c r="D47" s="158" t="s">
        <v>38</v>
      </c>
      <c r="E47" s="158">
        <v>1</v>
      </c>
      <c r="F47" s="75">
        <v>2</v>
      </c>
      <c r="G47" s="76" t="s">
        <v>38</v>
      </c>
      <c r="H47" s="76" t="s">
        <v>38</v>
      </c>
      <c r="I47" s="76">
        <v>1</v>
      </c>
      <c r="J47" s="77">
        <v>4</v>
      </c>
      <c r="K47" s="78">
        <f t="shared" ref="K47:K60" si="33">SUM(D47:J47)</f>
        <v>8</v>
      </c>
      <c r="L47" s="79">
        <v>0</v>
      </c>
      <c r="M47" s="124">
        <f t="shared" ref="M47:M60" si="34">K47-L47</f>
        <v>8</v>
      </c>
      <c r="N47" s="81">
        <v>102.13888888888889</v>
      </c>
      <c r="O47" s="81">
        <v>0</v>
      </c>
      <c r="P47" s="82">
        <f>SUM(N47:O47)</f>
        <v>102.13888888888889</v>
      </c>
      <c r="Q47" s="83">
        <f>P47/20</f>
        <v>5.1069444444444443</v>
      </c>
      <c r="R47" s="84">
        <f t="shared" si="20"/>
        <v>107.24583333333334</v>
      </c>
      <c r="S47" s="83">
        <f>R47/20</f>
        <v>5.3622916666666667</v>
      </c>
      <c r="T47" s="103">
        <v>203</v>
      </c>
      <c r="U47" s="85">
        <v>0</v>
      </c>
      <c r="V47" s="136">
        <f t="shared" si="30"/>
        <v>203</v>
      </c>
      <c r="W47" s="78">
        <f t="shared" si="13"/>
        <v>101.5</v>
      </c>
      <c r="X47" s="87">
        <f t="shared" si="22"/>
        <v>5.8</v>
      </c>
      <c r="Y47" s="88">
        <f t="shared" si="14"/>
        <v>7.25</v>
      </c>
      <c r="Z47" s="89">
        <f t="shared" ref="Z47:Z73" si="35">Q47-M47</f>
        <v>-2.8930555555555557</v>
      </c>
      <c r="AA47" s="89">
        <f t="shared" ref="AA47:AA73" si="36">X47-M47</f>
        <v>-2.2000000000000002</v>
      </c>
      <c r="AB47" s="89">
        <f t="shared" si="29"/>
        <v>-0.75</v>
      </c>
      <c r="AC47" s="159">
        <v>5</v>
      </c>
      <c r="AD47" s="160" t="s">
        <v>38</v>
      </c>
      <c r="AE47" s="94" t="s">
        <v>38</v>
      </c>
      <c r="AF47" s="94">
        <v>1</v>
      </c>
      <c r="AG47" s="94" t="s">
        <v>38</v>
      </c>
      <c r="AH47" s="146">
        <v>1</v>
      </c>
      <c r="AI47" s="94" t="s">
        <v>38</v>
      </c>
      <c r="AJ47" s="147" t="s">
        <v>38</v>
      </c>
      <c r="AK47" s="147" t="s">
        <v>38</v>
      </c>
      <c r="AL47" s="147" t="s">
        <v>38</v>
      </c>
      <c r="AM47" s="147" t="s">
        <v>38</v>
      </c>
      <c r="AN47" s="147" t="s">
        <v>38</v>
      </c>
      <c r="AO47" s="146" t="s">
        <v>137</v>
      </c>
      <c r="AP47" s="63"/>
    </row>
    <row r="48" spans="1:42" ht="21.75" customHeight="1" x14ac:dyDescent="0.2">
      <c r="A48" s="342" t="s">
        <v>73</v>
      </c>
      <c r="B48" s="263" t="s">
        <v>112</v>
      </c>
      <c r="C48" s="75" t="s">
        <v>38</v>
      </c>
      <c r="D48" s="75" t="s">
        <v>38</v>
      </c>
      <c r="E48" s="75">
        <v>1</v>
      </c>
      <c r="F48" s="75" t="s">
        <v>38</v>
      </c>
      <c r="G48" s="76" t="s">
        <v>38</v>
      </c>
      <c r="H48" s="76" t="s">
        <v>38</v>
      </c>
      <c r="I48" s="76">
        <v>2</v>
      </c>
      <c r="J48" s="77" t="s">
        <v>38</v>
      </c>
      <c r="K48" s="78">
        <f t="shared" si="33"/>
        <v>3</v>
      </c>
      <c r="L48" s="79">
        <v>0</v>
      </c>
      <c r="M48" s="124">
        <f t="shared" si="34"/>
        <v>3</v>
      </c>
      <c r="N48" s="161">
        <v>0</v>
      </c>
      <c r="O48" s="98">
        <f>9.20833333333333*2</f>
        <v>18.416666666666661</v>
      </c>
      <c r="P48" s="82">
        <f>SUM(O48:O48)</f>
        <v>18.416666666666661</v>
      </c>
      <c r="Q48" s="83">
        <f>P48/30</f>
        <v>0.61388888888888871</v>
      </c>
      <c r="R48" s="84">
        <f t="shared" si="20"/>
        <v>19.337499999999995</v>
      </c>
      <c r="S48" s="83">
        <f>R48/30</f>
        <v>0.64458333333333317</v>
      </c>
      <c r="T48" s="96">
        <v>0</v>
      </c>
      <c r="U48" s="86">
        <v>27</v>
      </c>
      <c r="V48" s="136">
        <f>SUM(U48:U48)</f>
        <v>27</v>
      </c>
      <c r="W48" s="78">
        <f t="shared" si="13"/>
        <v>13.5</v>
      </c>
      <c r="X48" s="87">
        <f t="shared" si="22"/>
        <v>0.77142857142857146</v>
      </c>
      <c r="Y48" s="88">
        <f t="shared" si="14"/>
        <v>0.9642857142857143</v>
      </c>
      <c r="Z48" s="89">
        <f t="shared" si="35"/>
        <v>-2.3861111111111111</v>
      </c>
      <c r="AA48" s="89">
        <f t="shared" si="36"/>
        <v>-2.2285714285714286</v>
      </c>
      <c r="AB48" s="89">
        <f t="shared" si="29"/>
        <v>-2.0357142857142856</v>
      </c>
      <c r="AC48" s="159">
        <v>3</v>
      </c>
      <c r="AD48" s="160" t="s">
        <v>38</v>
      </c>
      <c r="AE48" s="94" t="s">
        <v>38</v>
      </c>
      <c r="AF48" s="94" t="s">
        <v>38</v>
      </c>
      <c r="AG48" s="94" t="s">
        <v>38</v>
      </c>
      <c r="AH48" s="94" t="s">
        <v>38</v>
      </c>
      <c r="AI48" s="94" t="s">
        <v>38</v>
      </c>
      <c r="AJ48" s="147" t="s">
        <v>38</v>
      </c>
      <c r="AK48" s="147" t="s">
        <v>38</v>
      </c>
      <c r="AL48" s="147" t="s">
        <v>38</v>
      </c>
      <c r="AM48" s="147" t="s">
        <v>38</v>
      </c>
      <c r="AN48" s="147" t="s">
        <v>38</v>
      </c>
      <c r="AO48" s="146"/>
      <c r="AP48" s="63"/>
    </row>
    <row r="49" spans="1:42" ht="21.75" customHeight="1" x14ac:dyDescent="0.2">
      <c r="A49" s="342"/>
      <c r="B49" s="263" t="s">
        <v>113</v>
      </c>
      <c r="C49" s="75" t="s">
        <v>38</v>
      </c>
      <c r="D49" s="75" t="s">
        <v>38</v>
      </c>
      <c r="E49" s="75">
        <v>1</v>
      </c>
      <c r="F49" s="75" t="s">
        <v>38</v>
      </c>
      <c r="G49" s="76" t="s">
        <v>38</v>
      </c>
      <c r="H49" s="76" t="s">
        <v>38</v>
      </c>
      <c r="I49" s="76" t="s">
        <v>38</v>
      </c>
      <c r="J49" s="77">
        <v>4</v>
      </c>
      <c r="K49" s="78">
        <f t="shared" si="33"/>
        <v>5</v>
      </c>
      <c r="L49" s="79">
        <v>0</v>
      </c>
      <c r="M49" s="124">
        <f t="shared" si="34"/>
        <v>5</v>
      </c>
      <c r="N49" s="98">
        <v>36.638888888888886</v>
      </c>
      <c r="O49" s="98">
        <v>0</v>
      </c>
      <c r="P49" s="82">
        <f t="shared" ref="P49:P73" si="37">SUM(N49:O49)</f>
        <v>36.638888888888886</v>
      </c>
      <c r="Q49" s="83">
        <f>P49/20</f>
        <v>1.8319444444444444</v>
      </c>
      <c r="R49" s="84">
        <f t="shared" si="20"/>
        <v>38.470833333333331</v>
      </c>
      <c r="S49" s="83">
        <f>R49/20</f>
        <v>1.9235416666666665</v>
      </c>
      <c r="T49" s="85">
        <v>178</v>
      </c>
      <c r="U49" s="85">
        <v>0</v>
      </c>
      <c r="V49" s="136">
        <f t="shared" ref="V49:V54" si="38">SUM(T49:U49)</f>
        <v>178</v>
      </c>
      <c r="W49" s="78">
        <f t="shared" si="13"/>
        <v>89</v>
      </c>
      <c r="X49" s="87">
        <f t="shared" si="22"/>
        <v>5.0857142857142854</v>
      </c>
      <c r="Y49" s="88">
        <f t="shared" si="14"/>
        <v>6.3571428571428568</v>
      </c>
      <c r="Z49" s="89">
        <f t="shared" si="35"/>
        <v>-3.1680555555555556</v>
      </c>
      <c r="AA49" s="89">
        <f t="shared" si="36"/>
        <v>8.571428571428541E-2</v>
      </c>
      <c r="AB49" s="89">
        <f t="shared" si="29"/>
        <v>1.3571428571428568</v>
      </c>
      <c r="AC49" s="159">
        <v>5</v>
      </c>
      <c r="AD49" s="160" t="s">
        <v>38</v>
      </c>
      <c r="AE49" s="94" t="s">
        <v>38</v>
      </c>
      <c r="AF49" s="94" t="s">
        <v>38</v>
      </c>
      <c r="AG49" s="94" t="s">
        <v>38</v>
      </c>
      <c r="AH49" s="94" t="s">
        <v>38</v>
      </c>
      <c r="AI49" s="94" t="s">
        <v>38</v>
      </c>
      <c r="AJ49" s="147" t="s">
        <v>38</v>
      </c>
      <c r="AK49" s="147" t="s">
        <v>38</v>
      </c>
      <c r="AL49" s="147" t="s">
        <v>38</v>
      </c>
      <c r="AM49" s="147" t="s">
        <v>38</v>
      </c>
      <c r="AN49" s="147" t="s">
        <v>38</v>
      </c>
      <c r="AO49" s="146"/>
      <c r="AP49" s="63"/>
    </row>
    <row r="50" spans="1:42" ht="21.75" customHeight="1" x14ac:dyDescent="0.2">
      <c r="A50" s="342"/>
      <c r="B50" s="263" t="s">
        <v>114</v>
      </c>
      <c r="C50" s="75" t="s">
        <v>38</v>
      </c>
      <c r="D50" s="75" t="s">
        <v>38</v>
      </c>
      <c r="E50" s="75">
        <v>2</v>
      </c>
      <c r="F50" s="75" t="s">
        <v>38</v>
      </c>
      <c r="G50" s="76" t="s">
        <v>38</v>
      </c>
      <c r="H50" s="76" t="s">
        <v>38</v>
      </c>
      <c r="I50" s="76" t="s">
        <v>38</v>
      </c>
      <c r="J50" s="77">
        <v>4</v>
      </c>
      <c r="K50" s="78">
        <f t="shared" si="33"/>
        <v>6</v>
      </c>
      <c r="L50" s="79">
        <v>0</v>
      </c>
      <c r="M50" s="124">
        <f t="shared" si="34"/>
        <v>6</v>
      </c>
      <c r="N50" s="98">
        <v>234.02777777777777</v>
      </c>
      <c r="O50" s="98">
        <v>0</v>
      </c>
      <c r="P50" s="82">
        <f t="shared" si="37"/>
        <v>234.02777777777777</v>
      </c>
      <c r="Q50" s="83">
        <f>P50/30</f>
        <v>7.8009259259259256</v>
      </c>
      <c r="R50" s="84">
        <f t="shared" si="20"/>
        <v>245.72916666666666</v>
      </c>
      <c r="S50" s="83">
        <f>R50/30</f>
        <v>8.1909722222222214</v>
      </c>
      <c r="T50" s="85">
        <v>126</v>
      </c>
      <c r="U50" s="85">
        <v>0</v>
      </c>
      <c r="V50" s="136">
        <f t="shared" si="38"/>
        <v>126</v>
      </c>
      <c r="W50" s="78">
        <f t="shared" si="13"/>
        <v>63</v>
      </c>
      <c r="X50" s="87">
        <f t="shared" si="22"/>
        <v>3.6</v>
      </c>
      <c r="Y50" s="88">
        <f t="shared" si="14"/>
        <v>4.5</v>
      </c>
      <c r="Z50" s="89">
        <f t="shared" si="35"/>
        <v>1.8009259259259256</v>
      </c>
      <c r="AA50" s="89">
        <f t="shared" si="36"/>
        <v>-2.4</v>
      </c>
      <c r="AB50" s="89">
        <f t="shared" si="29"/>
        <v>-1.5</v>
      </c>
      <c r="AC50" s="159">
        <v>5</v>
      </c>
      <c r="AD50" s="160" t="s">
        <v>38</v>
      </c>
      <c r="AE50" s="94" t="s">
        <v>38</v>
      </c>
      <c r="AF50" s="94" t="s">
        <v>38</v>
      </c>
      <c r="AG50" s="94" t="s">
        <v>38</v>
      </c>
      <c r="AH50" s="94" t="s">
        <v>38</v>
      </c>
      <c r="AI50" s="94" t="s">
        <v>38</v>
      </c>
      <c r="AJ50" s="147" t="s">
        <v>38</v>
      </c>
      <c r="AK50" s="147" t="s">
        <v>38</v>
      </c>
      <c r="AL50" s="147" t="s">
        <v>38</v>
      </c>
      <c r="AM50" s="147" t="s">
        <v>38</v>
      </c>
      <c r="AN50" s="147" t="s">
        <v>38</v>
      </c>
      <c r="AO50" s="146"/>
      <c r="AP50" s="63"/>
    </row>
    <row r="51" spans="1:42" ht="21.75" customHeight="1" x14ac:dyDescent="0.2">
      <c r="A51" s="342" t="s">
        <v>74</v>
      </c>
      <c r="B51" s="263" t="s">
        <v>27</v>
      </c>
      <c r="C51" s="158" t="s">
        <v>38</v>
      </c>
      <c r="D51" s="158" t="s">
        <v>38</v>
      </c>
      <c r="E51" s="75">
        <v>3</v>
      </c>
      <c r="F51" s="75" t="s">
        <v>38</v>
      </c>
      <c r="G51" s="76" t="s">
        <v>38</v>
      </c>
      <c r="H51" s="76" t="s">
        <v>38</v>
      </c>
      <c r="I51" s="76">
        <v>4</v>
      </c>
      <c r="J51" s="77">
        <v>7</v>
      </c>
      <c r="K51" s="78">
        <f t="shared" si="33"/>
        <v>14</v>
      </c>
      <c r="L51" s="79">
        <v>3</v>
      </c>
      <c r="M51" s="124">
        <f t="shared" si="34"/>
        <v>11</v>
      </c>
      <c r="N51" s="98">
        <v>70.722222222222229</v>
      </c>
      <c r="O51" s="98">
        <v>0</v>
      </c>
      <c r="P51" s="82">
        <f t="shared" si="37"/>
        <v>70.722222222222229</v>
      </c>
      <c r="Q51" s="83">
        <f>P51/20</f>
        <v>3.5361111111111114</v>
      </c>
      <c r="R51" s="84">
        <f t="shared" si="20"/>
        <v>74.25833333333334</v>
      </c>
      <c r="S51" s="83">
        <f>R51/20</f>
        <v>3.7129166666666671</v>
      </c>
      <c r="T51" s="103">
        <v>245</v>
      </c>
      <c r="U51" s="85">
        <v>0</v>
      </c>
      <c r="V51" s="136">
        <f t="shared" si="38"/>
        <v>245</v>
      </c>
      <c r="W51" s="78">
        <f t="shared" si="13"/>
        <v>122.5</v>
      </c>
      <c r="X51" s="87">
        <f t="shared" si="22"/>
        <v>7</v>
      </c>
      <c r="Y51" s="88">
        <f t="shared" si="14"/>
        <v>8.75</v>
      </c>
      <c r="Z51" s="89">
        <f t="shared" si="35"/>
        <v>-7.4638888888888886</v>
      </c>
      <c r="AA51" s="89">
        <f t="shared" si="36"/>
        <v>-4</v>
      </c>
      <c r="AB51" s="89">
        <f t="shared" si="29"/>
        <v>-2.25</v>
      </c>
      <c r="AC51" s="159">
        <v>5</v>
      </c>
      <c r="AD51" s="160" t="s">
        <v>38</v>
      </c>
      <c r="AE51" s="94" t="s">
        <v>38</v>
      </c>
      <c r="AF51" s="94" t="s">
        <v>38</v>
      </c>
      <c r="AG51" s="94">
        <v>1</v>
      </c>
      <c r="AH51" s="94" t="s">
        <v>38</v>
      </c>
      <c r="AI51" s="94" t="s">
        <v>38</v>
      </c>
      <c r="AJ51" s="147" t="s">
        <v>38</v>
      </c>
      <c r="AK51" s="147" t="s">
        <v>38</v>
      </c>
      <c r="AL51" s="147" t="s">
        <v>38</v>
      </c>
      <c r="AM51" s="147" t="s">
        <v>38</v>
      </c>
      <c r="AN51" s="147" t="s">
        <v>38</v>
      </c>
      <c r="AO51" s="146"/>
      <c r="AP51" s="63"/>
    </row>
    <row r="52" spans="1:42" ht="21.75" customHeight="1" x14ac:dyDescent="0.2">
      <c r="A52" s="342"/>
      <c r="B52" s="263" t="s">
        <v>21</v>
      </c>
      <c r="C52" s="75" t="s">
        <v>38</v>
      </c>
      <c r="D52" s="75" t="s">
        <v>38</v>
      </c>
      <c r="E52" s="75" t="s">
        <v>38</v>
      </c>
      <c r="F52" s="75">
        <v>1</v>
      </c>
      <c r="G52" s="76" t="s">
        <v>38</v>
      </c>
      <c r="H52" s="76" t="s">
        <v>38</v>
      </c>
      <c r="I52" s="76">
        <v>1</v>
      </c>
      <c r="J52" s="77">
        <v>3</v>
      </c>
      <c r="K52" s="78">
        <f t="shared" si="33"/>
        <v>5</v>
      </c>
      <c r="L52" s="79">
        <v>0</v>
      </c>
      <c r="M52" s="124">
        <f t="shared" si="34"/>
        <v>5</v>
      </c>
      <c r="N52" s="98">
        <v>119.86111111111111</v>
      </c>
      <c r="O52" s="98">
        <v>0</v>
      </c>
      <c r="P52" s="82">
        <f t="shared" si="37"/>
        <v>119.86111111111111</v>
      </c>
      <c r="Q52" s="83">
        <f>P52/30</f>
        <v>3.9953703703703707</v>
      </c>
      <c r="R52" s="84">
        <f t="shared" ref="R52:R84" si="39">(P52*0.05)+P52</f>
        <v>125.85416666666667</v>
      </c>
      <c r="S52" s="83">
        <f>R52/30</f>
        <v>4.1951388888888888</v>
      </c>
      <c r="T52" s="103">
        <v>149</v>
      </c>
      <c r="U52" s="85">
        <v>0</v>
      </c>
      <c r="V52" s="136">
        <f t="shared" si="38"/>
        <v>149</v>
      </c>
      <c r="W52" s="78">
        <f t="shared" si="13"/>
        <v>74.5</v>
      </c>
      <c r="X52" s="87">
        <f t="shared" si="22"/>
        <v>4.2571428571428571</v>
      </c>
      <c r="Y52" s="88">
        <f t="shared" si="14"/>
        <v>5.3214285714285712</v>
      </c>
      <c r="Z52" s="89">
        <f t="shared" si="35"/>
        <v>-1.0046296296296293</v>
      </c>
      <c r="AA52" s="89">
        <f t="shared" si="36"/>
        <v>-0.74285714285714288</v>
      </c>
      <c r="AB52" s="89">
        <f t="shared" si="29"/>
        <v>0.32142857142857117</v>
      </c>
      <c r="AC52" s="159">
        <v>5</v>
      </c>
      <c r="AD52" s="91">
        <f>P52/30</f>
        <v>3.9953703703703707</v>
      </c>
      <c r="AE52" s="94" t="s">
        <v>38</v>
      </c>
      <c r="AF52" s="94" t="s">
        <v>38</v>
      </c>
      <c r="AG52" s="94" t="s">
        <v>38</v>
      </c>
      <c r="AH52" s="94" t="s">
        <v>38</v>
      </c>
      <c r="AI52" s="94" t="s">
        <v>38</v>
      </c>
      <c r="AJ52" s="147" t="s">
        <v>38</v>
      </c>
      <c r="AK52" s="147" t="s">
        <v>38</v>
      </c>
      <c r="AL52" s="147" t="s">
        <v>38</v>
      </c>
      <c r="AM52" s="147" t="s">
        <v>38</v>
      </c>
      <c r="AN52" s="147" t="s">
        <v>38</v>
      </c>
      <c r="AO52" s="146"/>
      <c r="AP52" s="63"/>
    </row>
    <row r="53" spans="1:42" ht="21.75" customHeight="1" x14ac:dyDescent="0.2">
      <c r="A53" s="342" t="s">
        <v>75</v>
      </c>
      <c r="B53" s="263" t="s">
        <v>27</v>
      </c>
      <c r="C53" s="158" t="s">
        <v>38</v>
      </c>
      <c r="D53" s="158" t="s">
        <v>38</v>
      </c>
      <c r="E53" s="75">
        <v>3</v>
      </c>
      <c r="F53" s="75">
        <v>1</v>
      </c>
      <c r="G53" s="76" t="s">
        <v>38</v>
      </c>
      <c r="H53" s="76" t="s">
        <v>38</v>
      </c>
      <c r="I53" s="76">
        <v>3</v>
      </c>
      <c r="J53" s="77">
        <v>6</v>
      </c>
      <c r="K53" s="78">
        <f t="shared" si="33"/>
        <v>13</v>
      </c>
      <c r="L53" s="79">
        <v>1</v>
      </c>
      <c r="M53" s="124">
        <f t="shared" si="34"/>
        <v>12</v>
      </c>
      <c r="N53" s="98">
        <v>85.555555555555557</v>
      </c>
      <c r="O53" s="98">
        <v>0</v>
      </c>
      <c r="P53" s="82">
        <f t="shared" si="37"/>
        <v>85.555555555555557</v>
      </c>
      <c r="Q53" s="83">
        <f>P53/20</f>
        <v>4.2777777777777777</v>
      </c>
      <c r="R53" s="84">
        <f t="shared" si="39"/>
        <v>89.833333333333329</v>
      </c>
      <c r="S53" s="83">
        <f>R53/20</f>
        <v>4.4916666666666663</v>
      </c>
      <c r="T53" s="103">
        <v>291</v>
      </c>
      <c r="U53" s="85">
        <v>0</v>
      </c>
      <c r="V53" s="136">
        <f t="shared" si="38"/>
        <v>291</v>
      </c>
      <c r="W53" s="78">
        <f t="shared" si="13"/>
        <v>145.5</v>
      </c>
      <c r="X53" s="87">
        <f t="shared" si="22"/>
        <v>8.3142857142857149</v>
      </c>
      <c r="Y53" s="88">
        <f t="shared" si="14"/>
        <v>10.392857142857142</v>
      </c>
      <c r="Z53" s="89">
        <f t="shared" si="35"/>
        <v>-7.7222222222222223</v>
      </c>
      <c r="AA53" s="89">
        <f t="shared" si="36"/>
        <v>-3.6857142857142851</v>
      </c>
      <c r="AB53" s="89">
        <f t="shared" si="29"/>
        <v>-1.6071428571428577</v>
      </c>
      <c r="AC53" s="159">
        <v>5</v>
      </c>
      <c r="AD53" s="160" t="s">
        <v>38</v>
      </c>
      <c r="AE53" s="94" t="s">
        <v>38</v>
      </c>
      <c r="AF53" s="94">
        <v>1</v>
      </c>
      <c r="AG53" s="94">
        <v>1</v>
      </c>
      <c r="AH53" s="94" t="s">
        <v>38</v>
      </c>
      <c r="AI53" s="94" t="s">
        <v>38</v>
      </c>
      <c r="AJ53" s="147" t="s">
        <v>38</v>
      </c>
      <c r="AK53" s="147" t="s">
        <v>38</v>
      </c>
      <c r="AL53" s="147" t="s">
        <v>38</v>
      </c>
      <c r="AM53" s="147" t="s">
        <v>38</v>
      </c>
      <c r="AN53" s="147" t="s">
        <v>38</v>
      </c>
      <c r="AO53" s="146"/>
      <c r="AP53" s="63"/>
    </row>
    <row r="54" spans="1:42" ht="21.75" customHeight="1" x14ac:dyDescent="0.2">
      <c r="A54" s="342"/>
      <c r="B54" s="263" t="s">
        <v>21</v>
      </c>
      <c r="C54" s="75" t="s">
        <v>38</v>
      </c>
      <c r="D54" s="75" t="s">
        <v>38</v>
      </c>
      <c r="E54" s="75" t="s">
        <v>38</v>
      </c>
      <c r="F54" s="75" t="s">
        <v>38</v>
      </c>
      <c r="G54" s="76" t="s">
        <v>38</v>
      </c>
      <c r="H54" s="76" t="s">
        <v>38</v>
      </c>
      <c r="I54" s="76">
        <v>5</v>
      </c>
      <c r="J54" s="77" t="s">
        <v>38</v>
      </c>
      <c r="K54" s="78">
        <f t="shared" si="33"/>
        <v>5</v>
      </c>
      <c r="L54" s="79">
        <v>0</v>
      </c>
      <c r="M54" s="124">
        <f t="shared" si="34"/>
        <v>5</v>
      </c>
      <c r="N54" s="98">
        <v>124.33333333333333</v>
      </c>
      <c r="O54" s="98">
        <v>0</v>
      </c>
      <c r="P54" s="82">
        <f t="shared" si="37"/>
        <v>124.33333333333333</v>
      </c>
      <c r="Q54" s="83">
        <f>P54/30</f>
        <v>4.1444444444444439</v>
      </c>
      <c r="R54" s="84">
        <f t="shared" si="39"/>
        <v>130.54999999999998</v>
      </c>
      <c r="S54" s="83">
        <f>R54/30</f>
        <v>4.3516666666666657</v>
      </c>
      <c r="T54" s="103">
        <v>140</v>
      </c>
      <c r="U54" s="85">
        <v>0</v>
      </c>
      <c r="V54" s="136">
        <f t="shared" si="38"/>
        <v>140</v>
      </c>
      <c r="W54" s="78">
        <f t="shared" si="13"/>
        <v>70</v>
      </c>
      <c r="X54" s="87">
        <f t="shared" si="22"/>
        <v>4</v>
      </c>
      <c r="Y54" s="88">
        <f t="shared" si="14"/>
        <v>5</v>
      </c>
      <c r="Z54" s="89">
        <f t="shared" si="35"/>
        <v>-0.85555555555555607</v>
      </c>
      <c r="AA54" s="89">
        <f t="shared" si="36"/>
        <v>-1</v>
      </c>
      <c r="AB54" s="89">
        <f t="shared" si="29"/>
        <v>0</v>
      </c>
      <c r="AC54" s="159">
        <v>5</v>
      </c>
      <c r="AD54" s="91">
        <f>P54/30</f>
        <v>4.1444444444444439</v>
      </c>
      <c r="AE54" s="94" t="s">
        <v>38</v>
      </c>
      <c r="AF54" s="94" t="s">
        <v>38</v>
      </c>
      <c r="AG54" s="94" t="s">
        <v>38</v>
      </c>
      <c r="AH54" s="94" t="s">
        <v>38</v>
      </c>
      <c r="AI54" s="94" t="s">
        <v>38</v>
      </c>
      <c r="AJ54" s="147" t="s">
        <v>38</v>
      </c>
      <c r="AK54" s="147" t="s">
        <v>38</v>
      </c>
      <c r="AL54" s="147" t="s">
        <v>38</v>
      </c>
      <c r="AM54" s="147" t="s">
        <v>38</v>
      </c>
      <c r="AN54" s="147" t="s">
        <v>38</v>
      </c>
      <c r="AO54" s="146"/>
      <c r="AP54" s="63"/>
    </row>
    <row r="55" spans="1:42" ht="21.75" customHeight="1" x14ac:dyDescent="0.2">
      <c r="A55" s="342" t="s">
        <v>76</v>
      </c>
      <c r="B55" s="263" t="s">
        <v>122</v>
      </c>
      <c r="C55" s="75" t="s">
        <v>38</v>
      </c>
      <c r="D55" s="75" t="s">
        <v>38</v>
      </c>
      <c r="E55" s="75">
        <v>1</v>
      </c>
      <c r="F55" s="75" t="s">
        <v>38</v>
      </c>
      <c r="G55" s="76" t="s">
        <v>38</v>
      </c>
      <c r="H55" s="76" t="s">
        <v>38</v>
      </c>
      <c r="I55" s="76" t="s">
        <v>38</v>
      </c>
      <c r="J55" s="77" t="s">
        <v>38</v>
      </c>
      <c r="K55" s="78">
        <f t="shared" si="33"/>
        <v>1</v>
      </c>
      <c r="L55" s="79">
        <v>0</v>
      </c>
      <c r="M55" s="124">
        <f t="shared" si="34"/>
        <v>1</v>
      </c>
      <c r="N55" s="98">
        <v>0</v>
      </c>
      <c r="O55" s="98">
        <f>11.875*2</f>
        <v>23.75</v>
      </c>
      <c r="P55" s="82">
        <f t="shared" si="37"/>
        <v>23.75</v>
      </c>
      <c r="Q55" s="83">
        <f>P55/20</f>
        <v>1.1875</v>
      </c>
      <c r="R55" s="84">
        <f t="shared" si="39"/>
        <v>24.9375</v>
      </c>
      <c r="S55" s="83">
        <f>R55/20</f>
        <v>1.246875</v>
      </c>
      <c r="T55" s="96">
        <v>0</v>
      </c>
      <c r="U55" s="86">
        <v>38</v>
      </c>
      <c r="V55" s="136">
        <f>SUM(U55:U55)</f>
        <v>38</v>
      </c>
      <c r="W55" s="78">
        <f t="shared" si="13"/>
        <v>19</v>
      </c>
      <c r="X55" s="87">
        <f t="shared" si="22"/>
        <v>1.0857142857142856</v>
      </c>
      <c r="Y55" s="88">
        <f t="shared" si="14"/>
        <v>1.3571428571428572</v>
      </c>
      <c r="Z55" s="89">
        <f t="shared" si="35"/>
        <v>0.1875</v>
      </c>
      <c r="AA55" s="89">
        <f t="shared" si="36"/>
        <v>8.5714285714285632E-2</v>
      </c>
      <c r="AB55" s="89">
        <f t="shared" si="29"/>
        <v>0.35714285714285721</v>
      </c>
      <c r="AC55" s="159">
        <v>3</v>
      </c>
      <c r="AD55" s="160" t="s">
        <v>38</v>
      </c>
      <c r="AE55" s="94" t="s">
        <v>38</v>
      </c>
      <c r="AF55" s="94" t="s">
        <v>38</v>
      </c>
      <c r="AG55" s="94" t="s">
        <v>38</v>
      </c>
      <c r="AH55" s="94">
        <v>1</v>
      </c>
      <c r="AI55" s="94" t="s">
        <v>38</v>
      </c>
      <c r="AJ55" s="147" t="s">
        <v>38</v>
      </c>
      <c r="AK55" s="147" t="s">
        <v>38</v>
      </c>
      <c r="AL55" s="147" t="s">
        <v>38</v>
      </c>
      <c r="AM55" s="147" t="s">
        <v>38</v>
      </c>
      <c r="AN55" s="147" t="s">
        <v>38</v>
      </c>
      <c r="AO55" s="146" t="s">
        <v>123</v>
      </c>
      <c r="AP55" s="63"/>
    </row>
    <row r="56" spans="1:42" ht="21.75" customHeight="1" x14ac:dyDescent="0.2">
      <c r="A56" s="342"/>
      <c r="B56" s="263" t="s">
        <v>115</v>
      </c>
      <c r="C56" s="75" t="s">
        <v>38</v>
      </c>
      <c r="D56" s="75" t="s">
        <v>38</v>
      </c>
      <c r="E56" s="75" t="s">
        <v>38</v>
      </c>
      <c r="F56" s="75" t="s">
        <v>38</v>
      </c>
      <c r="G56" s="76" t="s">
        <v>38</v>
      </c>
      <c r="H56" s="76">
        <v>1</v>
      </c>
      <c r="I56" s="76">
        <v>2</v>
      </c>
      <c r="J56" s="77">
        <v>2</v>
      </c>
      <c r="K56" s="78">
        <f t="shared" si="33"/>
        <v>5</v>
      </c>
      <c r="L56" s="79">
        <v>1</v>
      </c>
      <c r="M56" s="124">
        <f t="shared" si="34"/>
        <v>4</v>
      </c>
      <c r="N56" s="98">
        <v>30.805555555555557</v>
      </c>
      <c r="O56" s="98">
        <v>0</v>
      </c>
      <c r="P56" s="82">
        <f t="shared" si="37"/>
        <v>30.805555555555557</v>
      </c>
      <c r="Q56" s="83">
        <f>P56/20</f>
        <v>1.5402777777777779</v>
      </c>
      <c r="R56" s="84">
        <f t="shared" si="39"/>
        <v>32.345833333333331</v>
      </c>
      <c r="S56" s="83">
        <f>R56/20</f>
        <v>1.6172916666666666</v>
      </c>
      <c r="T56" s="103">
        <f>107+88</f>
        <v>195</v>
      </c>
      <c r="U56" s="85">
        <v>0</v>
      </c>
      <c r="V56" s="136">
        <f>SUM(T56:U56)</f>
        <v>195</v>
      </c>
      <c r="W56" s="78">
        <f t="shared" si="13"/>
        <v>97.5</v>
      </c>
      <c r="X56" s="87">
        <f t="shared" si="22"/>
        <v>5.5714285714285712</v>
      </c>
      <c r="Y56" s="88">
        <f t="shared" si="14"/>
        <v>6.9642857142857144</v>
      </c>
      <c r="Z56" s="89">
        <f t="shared" si="35"/>
        <v>-2.4597222222222221</v>
      </c>
      <c r="AA56" s="89">
        <f t="shared" si="36"/>
        <v>1.5714285714285712</v>
      </c>
      <c r="AB56" s="89">
        <f t="shared" si="29"/>
        <v>2.9642857142857144</v>
      </c>
      <c r="AC56" s="145">
        <v>5</v>
      </c>
      <c r="AD56" s="128" t="s">
        <v>38</v>
      </c>
      <c r="AE56" s="94" t="s">
        <v>38</v>
      </c>
      <c r="AF56" s="94" t="s">
        <v>38</v>
      </c>
      <c r="AG56" s="94" t="s">
        <v>38</v>
      </c>
      <c r="AH56" s="94" t="s">
        <v>38</v>
      </c>
      <c r="AI56" s="94" t="s">
        <v>38</v>
      </c>
      <c r="AJ56" s="147" t="s">
        <v>38</v>
      </c>
      <c r="AK56" s="147" t="s">
        <v>38</v>
      </c>
      <c r="AL56" s="147" t="s">
        <v>38</v>
      </c>
      <c r="AM56" s="147" t="s">
        <v>38</v>
      </c>
      <c r="AN56" s="147" t="s">
        <v>38</v>
      </c>
      <c r="AO56" s="146" t="s">
        <v>123</v>
      </c>
      <c r="AP56" s="63"/>
    </row>
    <row r="57" spans="1:42" ht="21.75" customHeight="1" x14ac:dyDescent="0.2">
      <c r="A57" s="342"/>
      <c r="B57" s="263" t="s">
        <v>121</v>
      </c>
      <c r="C57" s="75" t="s">
        <v>38</v>
      </c>
      <c r="D57" s="75" t="s">
        <v>38</v>
      </c>
      <c r="E57" s="75">
        <v>1</v>
      </c>
      <c r="F57" s="75" t="s">
        <v>38</v>
      </c>
      <c r="G57" s="76" t="s">
        <v>38</v>
      </c>
      <c r="H57" s="76" t="s">
        <v>38</v>
      </c>
      <c r="I57" s="76">
        <v>1</v>
      </c>
      <c r="J57" s="76">
        <v>1</v>
      </c>
      <c r="K57" s="78">
        <f t="shared" si="33"/>
        <v>3</v>
      </c>
      <c r="L57" s="79">
        <v>1</v>
      </c>
      <c r="M57" s="124">
        <f t="shared" si="34"/>
        <v>2</v>
      </c>
      <c r="N57" s="98">
        <v>140.86000000000001</v>
      </c>
      <c r="O57" s="98">
        <v>0</v>
      </c>
      <c r="P57" s="82">
        <f t="shared" si="37"/>
        <v>140.86000000000001</v>
      </c>
      <c r="Q57" s="83">
        <f>P57/30</f>
        <v>4.695333333333334</v>
      </c>
      <c r="R57" s="84">
        <f t="shared" si="39"/>
        <v>147.90300000000002</v>
      </c>
      <c r="S57" s="83">
        <f>R57/20</f>
        <v>7.395150000000001</v>
      </c>
      <c r="T57" s="103">
        <f>107+9</f>
        <v>116</v>
      </c>
      <c r="U57" s="85">
        <v>0</v>
      </c>
      <c r="V57" s="136">
        <f>SUM(T57:U57)</f>
        <v>116</v>
      </c>
      <c r="W57" s="78">
        <f t="shared" si="13"/>
        <v>58</v>
      </c>
      <c r="X57" s="87">
        <f t="shared" si="22"/>
        <v>3.3142857142857145</v>
      </c>
      <c r="Y57" s="88">
        <f t="shared" si="14"/>
        <v>4.1428571428571432</v>
      </c>
      <c r="Z57" s="89">
        <f t="shared" si="35"/>
        <v>2.695333333333334</v>
      </c>
      <c r="AA57" s="89">
        <f t="shared" si="36"/>
        <v>1.3142857142857145</v>
      </c>
      <c r="AB57" s="89">
        <f t="shared" si="29"/>
        <v>2.1428571428571432</v>
      </c>
      <c r="AC57" s="145">
        <v>5</v>
      </c>
      <c r="AD57" s="91">
        <f>P57/30</f>
        <v>4.695333333333334</v>
      </c>
      <c r="AE57" s="94" t="s">
        <v>38</v>
      </c>
      <c r="AF57" s="94" t="s">
        <v>38</v>
      </c>
      <c r="AG57" s="94" t="s">
        <v>38</v>
      </c>
      <c r="AH57" s="94" t="s">
        <v>38</v>
      </c>
      <c r="AI57" s="94" t="s">
        <v>38</v>
      </c>
      <c r="AJ57" s="147" t="s">
        <v>38</v>
      </c>
      <c r="AK57" s="147" t="s">
        <v>38</v>
      </c>
      <c r="AL57" s="147" t="s">
        <v>38</v>
      </c>
      <c r="AM57" s="147" t="s">
        <v>38</v>
      </c>
      <c r="AN57" s="147" t="s">
        <v>38</v>
      </c>
      <c r="AO57" s="146"/>
      <c r="AP57" s="63"/>
    </row>
    <row r="58" spans="1:42" ht="21.75" customHeight="1" x14ac:dyDescent="0.2">
      <c r="A58" s="342"/>
      <c r="B58" s="263" t="s">
        <v>116</v>
      </c>
      <c r="C58" s="75" t="s">
        <v>38</v>
      </c>
      <c r="D58" s="75">
        <v>1</v>
      </c>
      <c r="E58" s="75">
        <v>1</v>
      </c>
      <c r="F58" s="75" t="s">
        <v>38</v>
      </c>
      <c r="G58" s="76" t="s">
        <v>38</v>
      </c>
      <c r="H58" s="76" t="s">
        <v>38</v>
      </c>
      <c r="I58" s="76">
        <v>3</v>
      </c>
      <c r="J58" s="77" t="s">
        <v>38</v>
      </c>
      <c r="K58" s="78">
        <f t="shared" si="33"/>
        <v>5</v>
      </c>
      <c r="L58" s="79">
        <v>0</v>
      </c>
      <c r="M58" s="124">
        <f t="shared" si="34"/>
        <v>5</v>
      </c>
      <c r="N58" s="98">
        <v>131.55555555555554</v>
      </c>
      <c r="O58" s="98">
        <v>0</v>
      </c>
      <c r="P58" s="82">
        <f t="shared" si="37"/>
        <v>131.55555555555554</v>
      </c>
      <c r="Q58" s="83">
        <f>P58/30</f>
        <v>4.3851851851851844</v>
      </c>
      <c r="R58" s="84">
        <f t="shared" si="39"/>
        <v>138.13333333333333</v>
      </c>
      <c r="S58" s="83">
        <f>R58/30</f>
        <v>4.6044444444444439</v>
      </c>
      <c r="T58" s="103">
        <v>108</v>
      </c>
      <c r="U58" s="85">
        <v>0</v>
      </c>
      <c r="V58" s="136">
        <f>SUM(T58:U58)</f>
        <v>108</v>
      </c>
      <c r="W58" s="78">
        <f t="shared" si="13"/>
        <v>54</v>
      </c>
      <c r="X58" s="87">
        <f t="shared" si="22"/>
        <v>3.0857142857142859</v>
      </c>
      <c r="Y58" s="88">
        <f t="shared" si="14"/>
        <v>3.8571428571428572</v>
      </c>
      <c r="Z58" s="89">
        <f t="shared" si="35"/>
        <v>-0.61481481481481559</v>
      </c>
      <c r="AA58" s="89">
        <f t="shared" si="36"/>
        <v>-1.9142857142857141</v>
      </c>
      <c r="AB58" s="89">
        <f t="shared" si="29"/>
        <v>-1.1428571428571428</v>
      </c>
      <c r="AC58" s="145">
        <v>5</v>
      </c>
      <c r="AD58" s="91">
        <f>P58/30</f>
        <v>4.3851851851851844</v>
      </c>
      <c r="AE58" s="94" t="s">
        <v>38</v>
      </c>
      <c r="AF58" s="94" t="s">
        <v>38</v>
      </c>
      <c r="AG58" s="94" t="s">
        <v>38</v>
      </c>
      <c r="AH58" s="94">
        <v>2</v>
      </c>
      <c r="AI58" s="94" t="s">
        <v>38</v>
      </c>
      <c r="AJ58" s="147" t="s">
        <v>38</v>
      </c>
      <c r="AK58" s="147" t="s">
        <v>38</v>
      </c>
      <c r="AL58" s="147" t="s">
        <v>38</v>
      </c>
      <c r="AM58" s="147" t="s">
        <v>38</v>
      </c>
      <c r="AN58" s="147" t="s">
        <v>38</v>
      </c>
      <c r="AO58" s="94" t="s">
        <v>127</v>
      </c>
      <c r="AP58" s="63"/>
    </row>
    <row r="59" spans="1:42" ht="21.75" customHeight="1" x14ac:dyDescent="0.2">
      <c r="A59" s="162" t="s">
        <v>77</v>
      </c>
      <c r="B59" s="263" t="s">
        <v>27</v>
      </c>
      <c r="C59" s="158" t="s">
        <v>38</v>
      </c>
      <c r="D59" s="158">
        <v>1</v>
      </c>
      <c r="E59" s="75" t="s">
        <v>38</v>
      </c>
      <c r="F59" s="75" t="s">
        <v>38</v>
      </c>
      <c r="G59" s="76" t="s">
        <v>38</v>
      </c>
      <c r="H59" s="76">
        <v>1</v>
      </c>
      <c r="I59" s="76" t="s">
        <v>38</v>
      </c>
      <c r="J59" s="77">
        <v>3</v>
      </c>
      <c r="K59" s="78">
        <f t="shared" si="33"/>
        <v>5</v>
      </c>
      <c r="L59" s="79">
        <v>0</v>
      </c>
      <c r="M59" s="124">
        <f t="shared" si="34"/>
        <v>5</v>
      </c>
      <c r="N59" s="98">
        <v>163.91666666666666</v>
      </c>
      <c r="O59" s="98">
        <v>0</v>
      </c>
      <c r="P59" s="82">
        <f t="shared" si="37"/>
        <v>163.91666666666666</v>
      </c>
      <c r="Q59" s="83">
        <f t="shared" ref="Q59:Q70" si="40">P59/20</f>
        <v>8.1958333333333329</v>
      </c>
      <c r="R59" s="84">
        <f t="shared" si="39"/>
        <v>172.11249999999998</v>
      </c>
      <c r="S59" s="83">
        <f t="shared" ref="S59:S70" si="41">R59/20</f>
        <v>8.6056249999999999</v>
      </c>
      <c r="T59" s="103">
        <v>117</v>
      </c>
      <c r="U59" s="85">
        <v>0</v>
      </c>
      <c r="V59" s="136">
        <f>SUM(T59:U59)</f>
        <v>117</v>
      </c>
      <c r="W59" s="78">
        <f t="shared" si="13"/>
        <v>58.5</v>
      </c>
      <c r="X59" s="87">
        <f t="shared" si="22"/>
        <v>3.342857142857143</v>
      </c>
      <c r="Y59" s="88">
        <f t="shared" si="14"/>
        <v>4.1785714285714288</v>
      </c>
      <c r="Z59" s="89">
        <f t="shared" si="35"/>
        <v>3.1958333333333329</v>
      </c>
      <c r="AA59" s="89">
        <f t="shared" si="36"/>
        <v>-1.657142857142857</v>
      </c>
      <c r="AB59" s="89">
        <f t="shared" si="29"/>
        <v>-0.82142857142857117</v>
      </c>
      <c r="AC59" s="145">
        <v>5</v>
      </c>
      <c r="AD59" s="128" t="s">
        <v>38</v>
      </c>
      <c r="AE59" s="94" t="s">
        <v>38</v>
      </c>
      <c r="AF59" s="94" t="s">
        <v>38</v>
      </c>
      <c r="AG59" s="94" t="s">
        <v>38</v>
      </c>
      <c r="AH59" s="94" t="s">
        <v>38</v>
      </c>
      <c r="AI59" s="94" t="s">
        <v>38</v>
      </c>
      <c r="AJ59" s="147" t="s">
        <v>38</v>
      </c>
      <c r="AK59" s="147" t="s">
        <v>38</v>
      </c>
      <c r="AL59" s="147" t="s">
        <v>38</v>
      </c>
      <c r="AM59" s="147" t="s">
        <v>38</v>
      </c>
      <c r="AN59" s="147" t="s">
        <v>38</v>
      </c>
      <c r="AO59" s="146"/>
      <c r="AP59" s="63"/>
    </row>
    <row r="60" spans="1:42" ht="21.75" customHeight="1" x14ac:dyDescent="0.2">
      <c r="A60" s="343" t="s">
        <v>78</v>
      </c>
      <c r="B60" s="263" t="s">
        <v>181</v>
      </c>
      <c r="C60" s="158" t="s">
        <v>38</v>
      </c>
      <c r="D60" s="158" t="s">
        <v>38</v>
      </c>
      <c r="E60" s="75">
        <v>2</v>
      </c>
      <c r="F60" s="75" t="s">
        <v>38</v>
      </c>
      <c r="G60" s="76" t="s">
        <v>38</v>
      </c>
      <c r="H60" s="76" t="s">
        <v>38</v>
      </c>
      <c r="I60" s="76">
        <v>1</v>
      </c>
      <c r="J60" s="77" t="s">
        <v>38</v>
      </c>
      <c r="K60" s="78">
        <f t="shared" si="33"/>
        <v>3</v>
      </c>
      <c r="L60" s="79">
        <v>0</v>
      </c>
      <c r="M60" s="124">
        <f t="shared" si="34"/>
        <v>3</v>
      </c>
      <c r="N60" s="98">
        <v>0</v>
      </c>
      <c r="O60" s="98">
        <f>0.125*2</f>
        <v>0.25</v>
      </c>
      <c r="P60" s="82">
        <f t="shared" si="37"/>
        <v>0.25</v>
      </c>
      <c r="Q60" s="83">
        <f t="shared" si="40"/>
        <v>1.2500000000000001E-2</v>
      </c>
      <c r="R60" s="84">
        <f t="shared" si="39"/>
        <v>0.26250000000000001</v>
      </c>
      <c r="S60" s="83">
        <f t="shared" si="41"/>
        <v>1.3125000000000001E-2</v>
      </c>
      <c r="T60" s="96">
        <v>0</v>
      </c>
      <c r="U60" s="103">
        <v>182</v>
      </c>
      <c r="V60" s="136">
        <f>SUM(U60:U60)</f>
        <v>182</v>
      </c>
      <c r="W60" s="78">
        <f t="shared" si="13"/>
        <v>91</v>
      </c>
      <c r="X60" s="87">
        <f t="shared" si="22"/>
        <v>5.2</v>
      </c>
      <c r="Y60" s="88">
        <f t="shared" si="14"/>
        <v>6.5</v>
      </c>
      <c r="Z60" s="89">
        <f t="shared" si="35"/>
        <v>-2.9874999999999998</v>
      </c>
      <c r="AA60" s="89">
        <f t="shared" si="36"/>
        <v>2.2000000000000002</v>
      </c>
      <c r="AB60" s="89">
        <f t="shared" si="29"/>
        <v>3.5</v>
      </c>
      <c r="AC60" s="145">
        <v>3</v>
      </c>
      <c r="AD60" s="128" t="s">
        <v>38</v>
      </c>
      <c r="AE60" s="94" t="s">
        <v>38</v>
      </c>
      <c r="AF60" s="94" t="s">
        <v>38</v>
      </c>
      <c r="AG60" s="94" t="s">
        <v>38</v>
      </c>
      <c r="AH60" s="94" t="s">
        <v>38</v>
      </c>
      <c r="AI60" s="94" t="s">
        <v>38</v>
      </c>
      <c r="AJ60" s="147" t="s">
        <v>38</v>
      </c>
      <c r="AK60" s="147" t="s">
        <v>38</v>
      </c>
      <c r="AL60" s="147" t="s">
        <v>38</v>
      </c>
      <c r="AM60" s="147" t="s">
        <v>38</v>
      </c>
      <c r="AN60" s="147" t="s">
        <v>38</v>
      </c>
      <c r="AO60" s="146"/>
      <c r="AP60" s="63"/>
    </row>
    <row r="61" spans="1:42" ht="21.75" customHeight="1" x14ac:dyDescent="0.2">
      <c r="A61" s="343"/>
      <c r="B61" s="263" t="s">
        <v>182</v>
      </c>
      <c r="C61" s="75" t="s">
        <v>38</v>
      </c>
      <c r="D61" s="75" t="s">
        <v>38</v>
      </c>
      <c r="E61" s="75" t="s">
        <v>38</v>
      </c>
      <c r="F61" s="75" t="s">
        <v>38</v>
      </c>
      <c r="G61" s="76" t="s">
        <v>38</v>
      </c>
      <c r="H61" s="76" t="s">
        <v>38</v>
      </c>
      <c r="I61" s="76" t="s">
        <v>38</v>
      </c>
      <c r="J61" s="77" t="s">
        <v>38</v>
      </c>
      <c r="K61" s="78">
        <v>0</v>
      </c>
      <c r="L61" s="139">
        <v>0</v>
      </c>
      <c r="M61" s="80">
        <v>0</v>
      </c>
      <c r="N61" s="98">
        <v>0</v>
      </c>
      <c r="O61" s="98">
        <v>3.458333333333333</v>
      </c>
      <c r="P61" s="82">
        <f t="shared" si="37"/>
        <v>3.458333333333333</v>
      </c>
      <c r="Q61" s="83">
        <f t="shared" si="40"/>
        <v>0.17291666666666666</v>
      </c>
      <c r="R61" s="84">
        <f t="shared" si="39"/>
        <v>3.6312499999999996</v>
      </c>
      <c r="S61" s="83">
        <f t="shared" si="41"/>
        <v>0.18156249999999999</v>
      </c>
      <c r="T61" s="96">
        <v>0</v>
      </c>
      <c r="U61" s="85">
        <f>20+28</f>
        <v>48</v>
      </c>
      <c r="V61" s="136">
        <f>SUM(U61:U61)</f>
        <v>48</v>
      </c>
      <c r="W61" s="78">
        <f t="shared" si="13"/>
        <v>24</v>
      </c>
      <c r="X61" s="87">
        <f t="shared" si="22"/>
        <v>1.3714285714285714</v>
      </c>
      <c r="Y61" s="88">
        <f t="shared" si="14"/>
        <v>1.7142857142857142</v>
      </c>
      <c r="Z61" s="100">
        <f t="shared" si="35"/>
        <v>0.17291666666666666</v>
      </c>
      <c r="AA61" s="100">
        <f t="shared" si="36"/>
        <v>1.3714285714285714</v>
      </c>
      <c r="AB61" s="100">
        <f t="shared" si="29"/>
        <v>1.7142857142857142</v>
      </c>
      <c r="AC61" s="145">
        <v>3</v>
      </c>
      <c r="AD61" s="128" t="s">
        <v>38</v>
      </c>
      <c r="AE61" s="94" t="s">
        <v>38</v>
      </c>
      <c r="AF61" s="94" t="s">
        <v>38</v>
      </c>
      <c r="AG61" s="94" t="s">
        <v>38</v>
      </c>
      <c r="AH61" s="94" t="s">
        <v>38</v>
      </c>
      <c r="AI61" s="94" t="s">
        <v>38</v>
      </c>
      <c r="AJ61" s="147" t="s">
        <v>38</v>
      </c>
      <c r="AK61" s="147" t="s">
        <v>38</v>
      </c>
      <c r="AL61" s="147" t="s">
        <v>38</v>
      </c>
      <c r="AM61" s="147" t="s">
        <v>38</v>
      </c>
      <c r="AN61" s="147" t="s">
        <v>38</v>
      </c>
      <c r="AO61" s="146"/>
      <c r="AP61" s="63"/>
    </row>
    <row r="62" spans="1:42" ht="21.75" customHeight="1" x14ac:dyDescent="0.2">
      <c r="A62" s="343"/>
      <c r="B62" s="263" t="s">
        <v>117</v>
      </c>
      <c r="C62" s="158" t="s">
        <v>38</v>
      </c>
      <c r="D62" s="158" t="s">
        <v>38</v>
      </c>
      <c r="E62" s="75" t="s">
        <v>38</v>
      </c>
      <c r="F62" s="75" t="s">
        <v>38</v>
      </c>
      <c r="G62" s="76" t="s">
        <v>38</v>
      </c>
      <c r="H62" s="76" t="s">
        <v>38</v>
      </c>
      <c r="I62" s="76">
        <v>1</v>
      </c>
      <c r="J62" s="77">
        <v>4</v>
      </c>
      <c r="K62" s="78">
        <f t="shared" ref="K62:K73" si="42">SUM(D62:J62)</f>
        <v>5</v>
      </c>
      <c r="L62" s="79">
        <v>0</v>
      </c>
      <c r="M62" s="124">
        <f t="shared" ref="M62:M73" si="43">K62-L62</f>
        <v>5</v>
      </c>
      <c r="N62" s="98">
        <v>85.555555555555557</v>
      </c>
      <c r="O62" s="98">
        <v>0</v>
      </c>
      <c r="P62" s="82">
        <f t="shared" si="37"/>
        <v>85.555555555555557</v>
      </c>
      <c r="Q62" s="83">
        <f t="shared" si="40"/>
        <v>4.2777777777777777</v>
      </c>
      <c r="R62" s="84">
        <f t="shared" si="39"/>
        <v>89.833333333333329</v>
      </c>
      <c r="S62" s="83">
        <f t="shared" si="41"/>
        <v>4.4916666666666663</v>
      </c>
      <c r="T62" s="103">
        <f>278+92</f>
        <v>370</v>
      </c>
      <c r="U62" s="85">
        <v>0</v>
      </c>
      <c r="V62" s="136">
        <f t="shared" ref="V62:V90" si="44">SUM(T62:U62)</f>
        <v>370</v>
      </c>
      <c r="W62" s="78">
        <f t="shared" si="13"/>
        <v>185</v>
      </c>
      <c r="X62" s="87">
        <f t="shared" si="22"/>
        <v>10.571428571428571</v>
      </c>
      <c r="Y62" s="88">
        <f t="shared" si="14"/>
        <v>13.214285714285714</v>
      </c>
      <c r="Z62" s="89">
        <f t="shared" si="35"/>
        <v>-0.72222222222222232</v>
      </c>
      <c r="AA62" s="89">
        <f t="shared" si="36"/>
        <v>5.5714285714285712</v>
      </c>
      <c r="AB62" s="89">
        <f t="shared" si="29"/>
        <v>8.2142857142857135</v>
      </c>
      <c r="AC62" s="145">
        <v>5</v>
      </c>
      <c r="AD62" s="128" t="s">
        <v>38</v>
      </c>
      <c r="AE62" s="94" t="s">
        <v>38</v>
      </c>
      <c r="AF62" s="94" t="s">
        <v>38</v>
      </c>
      <c r="AG62" s="94" t="s">
        <v>38</v>
      </c>
      <c r="AH62" s="94" t="s">
        <v>38</v>
      </c>
      <c r="AI62" s="94" t="s">
        <v>38</v>
      </c>
      <c r="AJ62" s="147" t="s">
        <v>38</v>
      </c>
      <c r="AK62" s="147" t="s">
        <v>38</v>
      </c>
      <c r="AL62" s="147" t="s">
        <v>38</v>
      </c>
      <c r="AM62" s="147" t="s">
        <v>38</v>
      </c>
      <c r="AN62" s="147" t="s">
        <v>38</v>
      </c>
      <c r="AO62" s="94" t="s">
        <v>132</v>
      </c>
      <c r="AP62" s="63"/>
    </row>
    <row r="63" spans="1:42" ht="21.75" customHeight="1" x14ac:dyDescent="0.2">
      <c r="A63" s="343"/>
      <c r="B63" s="263" t="s">
        <v>42</v>
      </c>
      <c r="C63" s="158" t="s">
        <v>38</v>
      </c>
      <c r="D63" s="158" t="s">
        <v>38</v>
      </c>
      <c r="E63" s="75" t="s">
        <v>38</v>
      </c>
      <c r="F63" s="75" t="s">
        <v>38</v>
      </c>
      <c r="G63" s="76" t="s">
        <v>38</v>
      </c>
      <c r="H63" s="76" t="s">
        <v>38</v>
      </c>
      <c r="I63" s="76">
        <v>3</v>
      </c>
      <c r="J63" s="77">
        <v>2</v>
      </c>
      <c r="K63" s="78">
        <f t="shared" si="42"/>
        <v>5</v>
      </c>
      <c r="L63" s="79">
        <v>0</v>
      </c>
      <c r="M63" s="124">
        <f t="shared" si="43"/>
        <v>5</v>
      </c>
      <c r="N63" s="98">
        <v>25.361111111111111</v>
      </c>
      <c r="O63" s="98">
        <v>0</v>
      </c>
      <c r="P63" s="82">
        <f t="shared" si="37"/>
        <v>25.361111111111111</v>
      </c>
      <c r="Q63" s="83">
        <f t="shared" si="40"/>
        <v>1.2680555555555555</v>
      </c>
      <c r="R63" s="84">
        <f t="shared" si="39"/>
        <v>26.629166666666666</v>
      </c>
      <c r="S63" s="83">
        <f t="shared" si="41"/>
        <v>1.3314583333333334</v>
      </c>
      <c r="T63" s="103">
        <v>182</v>
      </c>
      <c r="U63" s="85">
        <v>0</v>
      </c>
      <c r="V63" s="136">
        <f t="shared" si="44"/>
        <v>182</v>
      </c>
      <c r="W63" s="78">
        <f t="shared" si="13"/>
        <v>91</v>
      </c>
      <c r="X63" s="87">
        <f t="shared" si="22"/>
        <v>5.2</v>
      </c>
      <c r="Y63" s="88">
        <f t="shared" si="14"/>
        <v>6.5</v>
      </c>
      <c r="Z63" s="89">
        <f t="shared" si="35"/>
        <v>-3.7319444444444443</v>
      </c>
      <c r="AA63" s="89">
        <f t="shared" si="36"/>
        <v>0.20000000000000018</v>
      </c>
      <c r="AB63" s="89">
        <f t="shared" si="29"/>
        <v>1.5</v>
      </c>
      <c r="AC63" s="145">
        <v>5</v>
      </c>
      <c r="AD63" s="128" t="s">
        <v>38</v>
      </c>
      <c r="AE63" s="94" t="s">
        <v>38</v>
      </c>
      <c r="AF63" s="94" t="s">
        <v>38</v>
      </c>
      <c r="AG63" s="94" t="s">
        <v>38</v>
      </c>
      <c r="AH63" s="94" t="s">
        <v>38</v>
      </c>
      <c r="AI63" s="94" t="s">
        <v>38</v>
      </c>
      <c r="AJ63" s="147" t="s">
        <v>38</v>
      </c>
      <c r="AK63" s="147" t="s">
        <v>38</v>
      </c>
      <c r="AL63" s="147" t="s">
        <v>38</v>
      </c>
      <c r="AM63" s="147" t="s">
        <v>38</v>
      </c>
      <c r="AN63" s="147" t="s">
        <v>38</v>
      </c>
      <c r="AO63" s="146"/>
      <c r="AP63" s="63"/>
    </row>
    <row r="64" spans="1:42" ht="21.75" customHeight="1" x14ac:dyDescent="0.2">
      <c r="A64" s="343"/>
      <c r="B64" s="263" t="s">
        <v>43</v>
      </c>
      <c r="C64" s="75" t="s">
        <v>38</v>
      </c>
      <c r="D64" s="75" t="s">
        <v>38</v>
      </c>
      <c r="E64" s="75" t="s">
        <v>38</v>
      </c>
      <c r="F64" s="75">
        <v>6</v>
      </c>
      <c r="G64" s="76" t="s">
        <v>38</v>
      </c>
      <c r="H64" s="76" t="s">
        <v>38</v>
      </c>
      <c r="I64" s="76">
        <v>3</v>
      </c>
      <c r="J64" s="77">
        <v>3</v>
      </c>
      <c r="K64" s="78">
        <f>SUM(D64:J64)</f>
        <v>12</v>
      </c>
      <c r="L64" s="79">
        <v>1</v>
      </c>
      <c r="M64" s="124">
        <f>K64-L64</f>
        <v>11</v>
      </c>
      <c r="N64" s="98">
        <v>159.30555555555557</v>
      </c>
      <c r="O64" s="98">
        <v>0</v>
      </c>
      <c r="P64" s="82">
        <f>SUM(N64:O64)</f>
        <v>159.30555555555557</v>
      </c>
      <c r="Q64" s="83">
        <f>P64/20</f>
        <v>7.9652777777777786</v>
      </c>
      <c r="R64" s="84">
        <f>(P64*0.05)+P64</f>
        <v>167.27083333333334</v>
      </c>
      <c r="S64" s="83">
        <f>R64/20</f>
        <v>8.3635416666666664</v>
      </c>
      <c r="T64" s="103">
        <f>194+226</f>
        <v>420</v>
      </c>
      <c r="U64" s="85">
        <v>0</v>
      </c>
      <c r="V64" s="136">
        <f>SUM(T64:U64)</f>
        <v>420</v>
      </c>
      <c r="W64" s="78">
        <f>V64/2</f>
        <v>210</v>
      </c>
      <c r="X64" s="87">
        <f>V64/35</f>
        <v>12</v>
      </c>
      <c r="Y64" s="88">
        <f>W64/14</f>
        <v>15</v>
      </c>
      <c r="Z64" s="89">
        <f>Q64-M64</f>
        <v>-3.0347222222222214</v>
      </c>
      <c r="AA64" s="89">
        <f>X64-M64</f>
        <v>1</v>
      </c>
      <c r="AB64" s="89">
        <f>Y64-M64</f>
        <v>4</v>
      </c>
      <c r="AC64" s="145">
        <v>5</v>
      </c>
      <c r="AD64" s="128" t="s">
        <v>38</v>
      </c>
      <c r="AE64" s="94" t="s">
        <v>38</v>
      </c>
      <c r="AF64" s="94" t="s">
        <v>38</v>
      </c>
      <c r="AG64" s="94" t="s">
        <v>38</v>
      </c>
      <c r="AH64" s="94" t="s">
        <v>38</v>
      </c>
      <c r="AI64" s="94" t="s">
        <v>38</v>
      </c>
      <c r="AJ64" s="147" t="s">
        <v>38</v>
      </c>
      <c r="AK64" s="147" t="s">
        <v>38</v>
      </c>
      <c r="AL64" s="147" t="s">
        <v>38</v>
      </c>
      <c r="AM64" s="147" t="s">
        <v>38</v>
      </c>
      <c r="AN64" s="147" t="s">
        <v>38</v>
      </c>
      <c r="AO64" s="146"/>
      <c r="AP64" s="63"/>
    </row>
    <row r="65" spans="1:42" ht="21.75" customHeight="1" x14ac:dyDescent="0.2">
      <c r="A65" s="343"/>
      <c r="B65" s="266" t="s">
        <v>194</v>
      </c>
      <c r="C65" s="75" t="s">
        <v>38</v>
      </c>
      <c r="D65" s="75" t="s">
        <v>38</v>
      </c>
      <c r="E65" s="75" t="s">
        <v>38</v>
      </c>
      <c r="F65" s="75" t="s">
        <v>38</v>
      </c>
      <c r="G65" s="76" t="s">
        <v>38</v>
      </c>
      <c r="H65" s="76" t="s">
        <v>38</v>
      </c>
      <c r="I65" s="76" t="s">
        <v>38</v>
      </c>
      <c r="J65" s="77" t="s">
        <v>38</v>
      </c>
      <c r="K65" s="96" t="s">
        <v>38</v>
      </c>
      <c r="L65" s="164" t="s">
        <v>38</v>
      </c>
      <c r="M65" s="165" t="s">
        <v>38</v>
      </c>
      <c r="N65" s="166" t="s">
        <v>38</v>
      </c>
      <c r="O65" s="166" t="s">
        <v>38</v>
      </c>
      <c r="P65" s="167" t="s">
        <v>38</v>
      </c>
      <c r="Q65" s="168" t="s">
        <v>38</v>
      </c>
      <c r="R65" s="169" t="s">
        <v>38</v>
      </c>
      <c r="S65" s="168" t="s">
        <v>38</v>
      </c>
      <c r="T65" s="170" t="s">
        <v>38</v>
      </c>
      <c r="U65" s="96" t="s">
        <v>38</v>
      </c>
      <c r="V65" s="171" t="s">
        <v>38</v>
      </c>
      <c r="W65" s="96" t="s">
        <v>38</v>
      </c>
      <c r="X65" s="172" t="s">
        <v>38</v>
      </c>
      <c r="Y65" s="173" t="s">
        <v>38</v>
      </c>
      <c r="Z65" s="174" t="s">
        <v>38</v>
      </c>
      <c r="AA65" s="174" t="s">
        <v>38</v>
      </c>
      <c r="AB65" s="174" t="s">
        <v>38</v>
      </c>
      <c r="AC65" s="145">
        <v>5</v>
      </c>
      <c r="AD65" s="128" t="s">
        <v>38</v>
      </c>
      <c r="AE65" s="94" t="s">
        <v>38</v>
      </c>
      <c r="AF65" s="94" t="s">
        <v>38</v>
      </c>
      <c r="AG65" s="94" t="s">
        <v>38</v>
      </c>
      <c r="AH65" s="94" t="s">
        <v>38</v>
      </c>
      <c r="AI65" s="94" t="s">
        <v>38</v>
      </c>
      <c r="AJ65" s="147" t="s">
        <v>38</v>
      </c>
      <c r="AK65" s="147" t="s">
        <v>38</v>
      </c>
      <c r="AL65" s="147" t="s">
        <v>38</v>
      </c>
      <c r="AM65" s="147" t="s">
        <v>38</v>
      </c>
      <c r="AN65" s="147" t="s">
        <v>38</v>
      </c>
      <c r="AO65" s="146"/>
      <c r="AP65" s="63"/>
    </row>
    <row r="66" spans="1:42" ht="21.75" customHeight="1" x14ac:dyDescent="0.2">
      <c r="A66" s="343" t="s">
        <v>79</v>
      </c>
      <c r="B66" s="263" t="s">
        <v>118</v>
      </c>
      <c r="C66" s="158" t="s">
        <v>38</v>
      </c>
      <c r="D66" s="158" t="s">
        <v>38</v>
      </c>
      <c r="E66" s="75" t="s">
        <v>38</v>
      </c>
      <c r="F66" s="75" t="s">
        <v>38</v>
      </c>
      <c r="G66" s="76" t="s">
        <v>38</v>
      </c>
      <c r="H66" s="76" t="s">
        <v>38</v>
      </c>
      <c r="I66" s="76">
        <v>4</v>
      </c>
      <c r="J66" s="77" t="s">
        <v>38</v>
      </c>
      <c r="K66" s="78">
        <f t="shared" si="42"/>
        <v>4</v>
      </c>
      <c r="L66" s="79">
        <v>0</v>
      </c>
      <c r="M66" s="80">
        <f t="shared" si="43"/>
        <v>4</v>
      </c>
      <c r="N66" s="98">
        <v>4.25</v>
      </c>
      <c r="O66" s="98">
        <v>0</v>
      </c>
      <c r="P66" s="82">
        <f t="shared" si="37"/>
        <v>4.25</v>
      </c>
      <c r="Q66" s="83">
        <f t="shared" si="40"/>
        <v>0.21249999999999999</v>
      </c>
      <c r="R66" s="84">
        <f t="shared" si="39"/>
        <v>4.4625000000000004</v>
      </c>
      <c r="S66" s="83">
        <f t="shared" si="41"/>
        <v>0.22312500000000002</v>
      </c>
      <c r="T66" s="85">
        <v>0</v>
      </c>
      <c r="U66" s="86">
        <v>20</v>
      </c>
      <c r="V66" s="136">
        <f t="shared" si="44"/>
        <v>20</v>
      </c>
      <c r="W66" s="78">
        <f t="shared" si="13"/>
        <v>10</v>
      </c>
      <c r="X66" s="87">
        <f t="shared" si="22"/>
        <v>0.5714285714285714</v>
      </c>
      <c r="Y66" s="88">
        <f t="shared" si="14"/>
        <v>0.7142857142857143</v>
      </c>
      <c r="Z66" s="89">
        <f t="shared" si="35"/>
        <v>-3.7875000000000001</v>
      </c>
      <c r="AA66" s="89">
        <f t="shared" si="36"/>
        <v>-3.4285714285714288</v>
      </c>
      <c r="AB66" s="89">
        <f t="shared" si="29"/>
        <v>-3.2857142857142856</v>
      </c>
      <c r="AC66" s="145">
        <v>3</v>
      </c>
      <c r="AD66" s="128" t="s">
        <v>38</v>
      </c>
      <c r="AE66" s="94" t="s">
        <v>38</v>
      </c>
      <c r="AF66" s="94" t="s">
        <v>38</v>
      </c>
      <c r="AG66" s="94" t="s">
        <v>38</v>
      </c>
      <c r="AH66" s="94" t="s">
        <v>38</v>
      </c>
      <c r="AI66" s="94" t="s">
        <v>38</v>
      </c>
      <c r="AJ66" s="147" t="s">
        <v>38</v>
      </c>
      <c r="AK66" s="147" t="s">
        <v>38</v>
      </c>
      <c r="AL66" s="147" t="s">
        <v>38</v>
      </c>
      <c r="AM66" s="147" t="s">
        <v>38</v>
      </c>
      <c r="AN66" s="147" t="s">
        <v>38</v>
      </c>
      <c r="AO66" s="146"/>
      <c r="AP66" s="63"/>
    </row>
    <row r="67" spans="1:42" ht="21.75" customHeight="1" x14ac:dyDescent="0.2">
      <c r="A67" s="343"/>
      <c r="B67" s="262" t="s">
        <v>119</v>
      </c>
      <c r="C67" s="75" t="s">
        <v>38</v>
      </c>
      <c r="D67" s="75" t="s">
        <v>38</v>
      </c>
      <c r="E67" s="75" t="s">
        <v>38</v>
      </c>
      <c r="F67" s="75" t="s">
        <v>38</v>
      </c>
      <c r="G67" s="76" t="s">
        <v>38</v>
      </c>
      <c r="H67" s="76" t="s">
        <v>38</v>
      </c>
      <c r="I67" s="76" t="s">
        <v>38</v>
      </c>
      <c r="J67" s="77" t="s">
        <v>38</v>
      </c>
      <c r="K67" s="78">
        <f t="shared" si="42"/>
        <v>0</v>
      </c>
      <c r="L67" s="139">
        <v>0</v>
      </c>
      <c r="M67" s="80">
        <f t="shared" si="43"/>
        <v>0</v>
      </c>
      <c r="N67" s="98">
        <v>3.833333333333333</v>
      </c>
      <c r="O67" s="98">
        <v>0</v>
      </c>
      <c r="P67" s="82">
        <f t="shared" si="37"/>
        <v>3.833333333333333</v>
      </c>
      <c r="Q67" s="83">
        <f t="shared" si="40"/>
        <v>0.19166666666666665</v>
      </c>
      <c r="R67" s="84">
        <f t="shared" si="39"/>
        <v>4.0249999999999995</v>
      </c>
      <c r="S67" s="83">
        <f t="shared" si="41"/>
        <v>0.20124999999999998</v>
      </c>
      <c r="T67" s="85">
        <v>0</v>
      </c>
      <c r="U67" s="86">
        <v>34</v>
      </c>
      <c r="V67" s="136">
        <f t="shared" si="44"/>
        <v>34</v>
      </c>
      <c r="W67" s="78">
        <f t="shared" si="13"/>
        <v>17</v>
      </c>
      <c r="X67" s="87">
        <f t="shared" si="22"/>
        <v>0.97142857142857142</v>
      </c>
      <c r="Y67" s="88">
        <f t="shared" si="14"/>
        <v>1.2142857142857142</v>
      </c>
      <c r="Z67" s="100">
        <f t="shared" si="35"/>
        <v>0.19166666666666665</v>
      </c>
      <c r="AA67" s="100">
        <f t="shared" si="36"/>
        <v>0.97142857142857142</v>
      </c>
      <c r="AB67" s="100">
        <f t="shared" si="29"/>
        <v>1.2142857142857142</v>
      </c>
      <c r="AC67" s="145">
        <v>3</v>
      </c>
      <c r="AD67" s="128" t="s">
        <v>38</v>
      </c>
      <c r="AE67" s="94" t="s">
        <v>38</v>
      </c>
      <c r="AF67" s="94" t="s">
        <v>38</v>
      </c>
      <c r="AG67" s="94" t="s">
        <v>38</v>
      </c>
      <c r="AH67" s="94" t="s">
        <v>38</v>
      </c>
      <c r="AI67" s="94" t="s">
        <v>38</v>
      </c>
      <c r="AJ67" s="147" t="s">
        <v>38</v>
      </c>
      <c r="AK67" s="147" t="s">
        <v>38</v>
      </c>
      <c r="AL67" s="147" t="s">
        <v>38</v>
      </c>
      <c r="AM67" s="147" t="s">
        <v>38</v>
      </c>
      <c r="AN67" s="147" t="s">
        <v>38</v>
      </c>
      <c r="AO67" s="146" t="s">
        <v>138</v>
      </c>
      <c r="AP67" s="63"/>
    </row>
    <row r="68" spans="1:42" ht="21.75" customHeight="1" x14ac:dyDescent="0.2">
      <c r="A68" s="343"/>
      <c r="B68" s="263" t="s">
        <v>120</v>
      </c>
      <c r="C68" s="75" t="s">
        <v>38</v>
      </c>
      <c r="D68" s="75">
        <v>1</v>
      </c>
      <c r="E68" s="75">
        <v>2</v>
      </c>
      <c r="F68" s="75">
        <v>1</v>
      </c>
      <c r="G68" s="76" t="s">
        <v>38</v>
      </c>
      <c r="H68" s="76" t="s">
        <v>38</v>
      </c>
      <c r="I68" s="76" t="s">
        <v>38</v>
      </c>
      <c r="J68" s="77">
        <v>1</v>
      </c>
      <c r="K68" s="78">
        <f t="shared" si="42"/>
        <v>5</v>
      </c>
      <c r="L68" s="79">
        <v>0</v>
      </c>
      <c r="M68" s="80">
        <f t="shared" si="43"/>
        <v>5</v>
      </c>
      <c r="N68" s="98">
        <v>131.08333333333334</v>
      </c>
      <c r="O68" s="98">
        <v>0</v>
      </c>
      <c r="P68" s="82">
        <f t="shared" si="37"/>
        <v>131.08333333333334</v>
      </c>
      <c r="Q68" s="83">
        <f t="shared" si="40"/>
        <v>6.5541666666666671</v>
      </c>
      <c r="R68" s="84">
        <f t="shared" si="39"/>
        <v>137.63750000000002</v>
      </c>
      <c r="S68" s="83">
        <f t="shared" si="41"/>
        <v>6.8818750000000009</v>
      </c>
      <c r="T68" s="103">
        <v>149</v>
      </c>
      <c r="U68" s="85">
        <v>0</v>
      </c>
      <c r="V68" s="136">
        <f t="shared" si="44"/>
        <v>149</v>
      </c>
      <c r="W68" s="78">
        <f t="shared" si="13"/>
        <v>74.5</v>
      </c>
      <c r="X68" s="87">
        <f t="shared" si="22"/>
        <v>4.2571428571428571</v>
      </c>
      <c r="Y68" s="88">
        <f t="shared" si="14"/>
        <v>5.3214285714285712</v>
      </c>
      <c r="Z68" s="89">
        <f t="shared" si="35"/>
        <v>1.5541666666666671</v>
      </c>
      <c r="AA68" s="89">
        <f t="shared" si="36"/>
        <v>-0.74285714285714288</v>
      </c>
      <c r="AB68" s="89">
        <f t="shared" ref="AB68:AB101" si="45">Y68-M68</f>
        <v>0.32142857142857117</v>
      </c>
      <c r="AC68" s="145">
        <v>5</v>
      </c>
      <c r="AD68" s="128" t="s">
        <v>38</v>
      </c>
      <c r="AE68" s="94">
        <v>1</v>
      </c>
      <c r="AF68" s="94">
        <v>1</v>
      </c>
      <c r="AG68" s="94" t="s">
        <v>38</v>
      </c>
      <c r="AH68" s="94" t="s">
        <v>38</v>
      </c>
      <c r="AI68" s="94" t="s">
        <v>38</v>
      </c>
      <c r="AJ68" s="147" t="s">
        <v>38</v>
      </c>
      <c r="AK68" s="147" t="s">
        <v>38</v>
      </c>
      <c r="AL68" s="147" t="s">
        <v>38</v>
      </c>
      <c r="AM68" s="147" t="s">
        <v>38</v>
      </c>
      <c r="AN68" s="147" t="s">
        <v>38</v>
      </c>
      <c r="AO68" s="146" t="s">
        <v>139</v>
      </c>
      <c r="AP68" s="63"/>
    </row>
    <row r="69" spans="1:42" ht="21.75" customHeight="1" x14ac:dyDescent="0.2">
      <c r="A69" s="175" t="s">
        <v>80</v>
      </c>
      <c r="B69" s="263" t="s">
        <v>27</v>
      </c>
      <c r="C69" s="158" t="s">
        <v>38</v>
      </c>
      <c r="D69" s="75">
        <v>1</v>
      </c>
      <c r="E69" s="75">
        <v>2</v>
      </c>
      <c r="F69" s="75">
        <v>1</v>
      </c>
      <c r="G69" s="76" t="s">
        <v>38</v>
      </c>
      <c r="H69" s="76" t="s">
        <v>38</v>
      </c>
      <c r="I69" s="76">
        <v>1</v>
      </c>
      <c r="J69" s="77">
        <v>2</v>
      </c>
      <c r="K69" s="78">
        <f t="shared" si="42"/>
        <v>7</v>
      </c>
      <c r="L69" s="79">
        <v>0</v>
      </c>
      <c r="M69" s="80">
        <f t="shared" si="43"/>
        <v>7</v>
      </c>
      <c r="N69" s="98">
        <v>58.194444444444443</v>
      </c>
      <c r="O69" s="98">
        <v>0</v>
      </c>
      <c r="P69" s="82">
        <f t="shared" si="37"/>
        <v>58.194444444444443</v>
      </c>
      <c r="Q69" s="83">
        <f t="shared" si="40"/>
        <v>2.9097222222222223</v>
      </c>
      <c r="R69" s="84">
        <f t="shared" si="39"/>
        <v>61.104166666666664</v>
      </c>
      <c r="S69" s="83">
        <f t="shared" si="41"/>
        <v>3.0552083333333333</v>
      </c>
      <c r="T69" s="103">
        <v>108</v>
      </c>
      <c r="U69" s="85">
        <v>0</v>
      </c>
      <c r="V69" s="136">
        <f t="shared" si="44"/>
        <v>108</v>
      </c>
      <c r="W69" s="78">
        <f t="shared" si="13"/>
        <v>54</v>
      </c>
      <c r="X69" s="87">
        <f t="shared" si="22"/>
        <v>3.0857142857142859</v>
      </c>
      <c r="Y69" s="88">
        <f t="shared" si="14"/>
        <v>3.8571428571428572</v>
      </c>
      <c r="Z69" s="89">
        <f t="shared" si="35"/>
        <v>-4.0902777777777777</v>
      </c>
      <c r="AA69" s="89">
        <f t="shared" si="36"/>
        <v>-3.9142857142857141</v>
      </c>
      <c r="AB69" s="89">
        <f t="shared" si="45"/>
        <v>-3.1428571428571428</v>
      </c>
      <c r="AC69" s="145">
        <v>5</v>
      </c>
      <c r="AD69" s="128" t="s">
        <v>38</v>
      </c>
      <c r="AE69" s="94" t="s">
        <v>38</v>
      </c>
      <c r="AF69" s="94" t="s">
        <v>38</v>
      </c>
      <c r="AG69" s="94" t="s">
        <v>38</v>
      </c>
      <c r="AH69" s="94" t="s">
        <v>38</v>
      </c>
      <c r="AI69" s="94" t="s">
        <v>38</v>
      </c>
      <c r="AJ69" s="147" t="s">
        <v>38</v>
      </c>
      <c r="AK69" s="147" t="s">
        <v>38</v>
      </c>
      <c r="AL69" s="147" t="s">
        <v>38</v>
      </c>
      <c r="AM69" s="147" t="s">
        <v>38</v>
      </c>
      <c r="AN69" s="147" t="s">
        <v>38</v>
      </c>
      <c r="AO69" s="146"/>
      <c r="AP69" s="63"/>
    </row>
    <row r="70" spans="1:42" ht="21.75" customHeight="1" x14ac:dyDescent="0.2">
      <c r="A70" s="175" t="s">
        <v>81</v>
      </c>
      <c r="B70" s="263" t="s">
        <v>27</v>
      </c>
      <c r="C70" s="158" t="s">
        <v>38</v>
      </c>
      <c r="D70" s="75" t="s">
        <v>38</v>
      </c>
      <c r="E70" s="75" t="s">
        <v>38</v>
      </c>
      <c r="F70" s="75" t="s">
        <v>38</v>
      </c>
      <c r="G70" s="76" t="s">
        <v>38</v>
      </c>
      <c r="H70" s="76" t="s">
        <v>38</v>
      </c>
      <c r="I70" s="76">
        <v>3</v>
      </c>
      <c r="J70" s="77">
        <v>7</v>
      </c>
      <c r="K70" s="78">
        <f t="shared" si="42"/>
        <v>10</v>
      </c>
      <c r="L70" s="79">
        <v>2</v>
      </c>
      <c r="M70" s="80">
        <f t="shared" si="43"/>
        <v>8</v>
      </c>
      <c r="N70" s="98">
        <v>310.67</v>
      </c>
      <c r="O70" s="98">
        <v>0</v>
      </c>
      <c r="P70" s="82">
        <f t="shared" si="37"/>
        <v>310.67</v>
      </c>
      <c r="Q70" s="83">
        <f t="shared" si="40"/>
        <v>15.5335</v>
      </c>
      <c r="R70" s="84">
        <f t="shared" si="39"/>
        <v>326.20350000000002</v>
      </c>
      <c r="S70" s="83">
        <f t="shared" si="41"/>
        <v>16.310175000000001</v>
      </c>
      <c r="T70" s="103">
        <v>261</v>
      </c>
      <c r="U70" s="85">
        <v>0</v>
      </c>
      <c r="V70" s="136">
        <f t="shared" si="44"/>
        <v>261</v>
      </c>
      <c r="W70" s="78">
        <f t="shared" si="13"/>
        <v>130.5</v>
      </c>
      <c r="X70" s="87">
        <f t="shared" si="22"/>
        <v>7.4571428571428573</v>
      </c>
      <c r="Y70" s="88">
        <f t="shared" si="14"/>
        <v>9.3214285714285712</v>
      </c>
      <c r="Z70" s="89">
        <f t="shared" si="35"/>
        <v>7.5335000000000001</v>
      </c>
      <c r="AA70" s="89">
        <f t="shared" si="36"/>
        <v>-0.5428571428571427</v>
      </c>
      <c r="AB70" s="89">
        <f t="shared" si="45"/>
        <v>1.3214285714285712</v>
      </c>
      <c r="AC70" s="145">
        <v>5</v>
      </c>
      <c r="AD70" s="128" t="s">
        <v>38</v>
      </c>
      <c r="AE70" s="94" t="s">
        <v>38</v>
      </c>
      <c r="AF70" s="94" t="s">
        <v>38</v>
      </c>
      <c r="AG70" s="94" t="s">
        <v>38</v>
      </c>
      <c r="AH70" s="94" t="s">
        <v>38</v>
      </c>
      <c r="AI70" s="94" t="s">
        <v>38</v>
      </c>
      <c r="AJ70" s="147" t="s">
        <v>38</v>
      </c>
      <c r="AK70" s="147" t="s">
        <v>38</v>
      </c>
      <c r="AL70" s="147" t="s">
        <v>38</v>
      </c>
      <c r="AM70" s="147" t="s">
        <v>38</v>
      </c>
      <c r="AN70" s="147" t="s">
        <v>38</v>
      </c>
      <c r="AO70" s="146"/>
      <c r="AP70" s="63"/>
    </row>
    <row r="71" spans="1:42" ht="21.75" customHeight="1" x14ac:dyDescent="0.2">
      <c r="A71" s="175" t="s">
        <v>82</v>
      </c>
      <c r="B71" s="263" t="s">
        <v>21</v>
      </c>
      <c r="C71" s="158" t="s">
        <v>38</v>
      </c>
      <c r="D71" s="75" t="s">
        <v>38</v>
      </c>
      <c r="E71" s="75">
        <v>2</v>
      </c>
      <c r="F71" s="75">
        <v>1</v>
      </c>
      <c r="G71" s="76" t="s">
        <v>38</v>
      </c>
      <c r="H71" s="76" t="s">
        <v>38</v>
      </c>
      <c r="I71" s="76" t="s">
        <v>38</v>
      </c>
      <c r="J71" s="77">
        <v>5</v>
      </c>
      <c r="K71" s="78">
        <f t="shared" si="42"/>
        <v>8</v>
      </c>
      <c r="L71" s="79">
        <v>0</v>
      </c>
      <c r="M71" s="80">
        <f t="shared" si="43"/>
        <v>8</v>
      </c>
      <c r="N71" s="98">
        <v>183.88888888888889</v>
      </c>
      <c r="O71" s="98">
        <v>0</v>
      </c>
      <c r="P71" s="82">
        <f t="shared" si="37"/>
        <v>183.88888888888889</v>
      </c>
      <c r="Q71" s="83">
        <f>P71/30</f>
        <v>6.1296296296296298</v>
      </c>
      <c r="R71" s="84">
        <f t="shared" si="39"/>
        <v>193.08333333333334</v>
      </c>
      <c r="S71" s="83">
        <f>R71/30</f>
        <v>6.4361111111111118</v>
      </c>
      <c r="T71" s="103">
        <v>172</v>
      </c>
      <c r="U71" s="85">
        <v>0</v>
      </c>
      <c r="V71" s="136">
        <f t="shared" si="44"/>
        <v>172</v>
      </c>
      <c r="W71" s="78">
        <f t="shared" si="13"/>
        <v>86</v>
      </c>
      <c r="X71" s="87">
        <f t="shared" si="22"/>
        <v>4.9142857142857146</v>
      </c>
      <c r="Y71" s="88">
        <f t="shared" si="14"/>
        <v>6.1428571428571432</v>
      </c>
      <c r="Z71" s="89">
        <f t="shared" si="35"/>
        <v>-1.8703703703703702</v>
      </c>
      <c r="AA71" s="89">
        <f t="shared" si="36"/>
        <v>-3.0857142857142854</v>
      </c>
      <c r="AB71" s="89">
        <f t="shared" si="45"/>
        <v>-1.8571428571428568</v>
      </c>
      <c r="AC71" s="145">
        <v>5</v>
      </c>
      <c r="AD71" s="128" t="s">
        <v>38</v>
      </c>
      <c r="AE71" s="94" t="s">
        <v>38</v>
      </c>
      <c r="AF71" s="94" t="s">
        <v>38</v>
      </c>
      <c r="AG71" s="94" t="s">
        <v>38</v>
      </c>
      <c r="AH71" s="146">
        <v>1</v>
      </c>
      <c r="AI71" s="94" t="s">
        <v>38</v>
      </c>
      <c r="AJ71" s="147" t="s">
        <v>38</v>
      </c>
      <c r="AK71" s="147" t="s">
        <v>38</v>
      </c>
      <c r="AL71" s="147" t="s">
        <v>38</v>
      </c>
      <c r="AM71" s="147" t="s">
        <v>38</v>
      </c>
      <c r="AN71" s="147" t="s">
        <v>38</v>
      </c>
      <c r="AO71" s="146" t="s">
        <v>140</v>
      </c>
      <c r="AP71" s="63"/>
    </row>
    <row r="72" spans="1:42" ht="21.75" customHeight="1" x14ac:dyDescent="0.2">
      <c r="A72" s="175" t="s">
        <v>83</v>
      </c>
      <c r="B72" s="263" t="s">
        <v>27</v>
      </c>
      <c r="C72" s="158" t="s">
        <v>38</v>
      </c>
      <c r="D72" s="75" t="s">
        <v>38</v>
      </c>
      <c r="E72" s="75" t="s">
        <v>38</v>
      </c>
      <c r="F72" s="75" t="s">
        <v>38</v>
      </c>
      <c r="G72" s="76" t="s">
        <v>38</v>
      </c>
      <c r="H72" s="76" t="s">
        <v>38</v>
      </c>
      <c r="I72" s="76">
        <v>3</v>
      </c>
      <c r="J72" s="77">
        <v>4</v>
      </c>
      <c r="K72" s="78">
        <f t="shared" si="42"/>
        <v>7</v>
      </c>
      <c r="L72" s="79">
        <v>0</v>
      </c>
      <c r="M72" s="124">
        <f t="shared" si="43"/>
        <v>7</v>
      </c>
      <c r="N72" s="98">
        <v>28.694444444444443</v>
      </c>
      <c r="O72" s="98">
        <v>0</v>
      </c>
      <c r="P72" s="82">
        <f t="shared" si="37"/>
        <v>28.694444444444443</v>
      </c>
      <c r="Q72" s="83">
        <f>P72/20</f>
        <v>1.4347222222222222</v>
      </c>
      <c r="R72" s="84">
        <f t="shared" si="39"/>
        <v>30.129166666666666</v>
      </c>
      <c r="S72" s="83">
        <f>R72/20</f>
        <v>1.5064583333333332</v>
      </c>
      <c r="T72" s="103">
        <v>149</v>
      </c>
      <c r="U72" s="85">
        <v>0</v>
      </c>
      <c r="V72" s="136">
        <f t="shared" si="44"/>
        <v>149</v>
      </c>
      <c r="W72" s="78">
        <f t="shared" si="13"/>
        <v>74.5</v>
      </c>
      <c r="X72" s="87">
        <f t="shared" si="22"/>
        <v>4.2571428571428571</v>
      </c>
      <c r="Y72" s="88">
        <f t="shared" si="14"/>
        <v>5.3214285714285712</v>
      </c>
      <c r="Z72" s="89">
        <f t="shared" si="35"/>
        <v>-5.5652777777777782</v>
      </c>
      <c r="AA72" s="89">
        <f t="shared" si="36"/>
        <v>-2.7428571428571429</v>
      </c>
      <c r="AB72" s="89">
        <f t="shared" si="45"/>
        <v>-1.6785714285714288</v>
      </c>
      <c r="AC72" s="145">
        <v>5</v>
      </c>
      <c r="AD72" s="128" t="s">
        <v>38</v>
      </c>
      <c r="AE72" s="94" t="s">
        <v>38</v>
      </c>
      <c r="AF72" s="94" t="s">
        <v>38</v>
      </c>
      <c r="AG72" s="94" t="s">
        <v>38</v>
      </c>
      <c r="AH72" s="94" t="s">
        <v>38</v>
      </c>
      <c r="AI72" s="94" t="s">
        <v>38</v>
      </c>
      <c r="AJ72" s="147" t="s">
        <v>38</v>
      </c>
      <c r="AK72" s="147" t="s">
        <v>38</v>
      </c>
      <c r="AL72" s="147" t="s">
        <v>38</v>
      </c>
      <c r="AM72" s="147" t="s">
        <v>38</v>
      </c>
      <c r="AN72" s="147" t="s">
        <v>38</v>
      </c>
      <c r="AO72" s="146"/>
      <c r="AP72" s="63"/>
    </row>
    <row r="73" spans="1:42" ht="21.75" customHeight="1" x14ac:dyDescent="0.2">
      <c r="A73" s="175" t="s">
        <v>84</v>
      </c>
      <c r="B73" s="263" t="s">
        <v>27</v>
      </c>
      <c r="C73" s="158" t="s">
        <v>38</v>
      </c>
      <c r="D73" s="75" t="s">
        <v>38</v>
      </c>
      <c r="E73" s="75">
        <v>1</v>
      </c>
      <c r="F73" s="75" t="s">
        <v>38</v>
      </c>
      <c r="G73" s="76" t="s">
        <v>38</v>
      </c>
      <c r="H73" s="76" t="s">
        <v>38</v>
      </c>
      <c r="I73" s="76">
        <v>2</v>
      </c>
      <c r="J73" s="77">
        <v>2</v>
      </c>
      <c r="K73" s="78">
        <f t="shared" si="42"/>
        <v>5</v>
      </c>
      <c r="L73" s="79">
        <v>0</v>
      </c>
      <c r="M73" s="124">
        <f t="shared" si="43"/>
        <v>5</v>
      </c>
      <c r="N73" s="81">
        <v>50.833333333333336</v>
      </c>
      <c r="O73" s="81">
        <v>0</v>
      </c>
      <c r="P73" s="82">
        <f t="shared" si="37"/>
        <v>50.833333333333336</v>
      </c>
      <c r="Q73" s="83">
        <f>P73/20</f>
        <v>2.541666666666667</v>
      </c>
      <c r="R73" s="84">
        <f t="shared" si="39"/>
        <v>53.375</v>
      </c>
      <c r="S73" s="83">
        <f>R73/20</f>
        <v>2.6687500000000002</v>
      </c>
      <c r="T73" s="125">
        <v>114</v>
      </c>
      <c r="U73" s="85">
        <v>0</v>
      </c>
      <c r="V73" s="136">
        <f t="shared" si="44"/>
        <v>114</v>
      </c>
      <c r="W73" s="78">
        <f t="shared" si="13"/>
        <v>57</v>
      </c>
      <c r="X73" s="87">
        <f t="shared" si="22"/>
        <v>3.2571428571428571</v>
      </c>
      <c r="Y73" s="88">
        <f t="shared" si="14"/>
        <v>4.0714285714285712</v>
      </c>
      <c r="Z73" s="89">
        <f t="shared" si="35"/>
        <v>-2.458333333333333</v>
      </c>
      <c r="AA73" s="89">
        <f t="shared" si="36"/>
        <v>-1.7428571428571429</v>
      </c>
      <c r="AB73" s="89">
        <f t="shared" si="45"/>
        <v>-0.92857142857142883</v>
      </c>
      <c r="AC73" s="145">
        <v>5</v>
      </c>
      <c r="AD73" s="128" t="s">
        <v>38</v>
      </c>
      <c r="AE73" s="94" t="s">
        <v>38</v>
      </c>
      <c r="AF73" s="94" t="s">
        <v>38</v>
      </c>
      <c r="AG73" s="94" t="s">
        <v>38</v>
      </c>
      <c r="AH73" s="94" t="s">
        <v>38</v>
      </c>
      <c r="AI73" s="94" t="s">
        <v>38</v>
      </c>
      <c r="AJ73" s="147" t="s">
        <v>38</v>
      </c>
      <c r="AK73" s="147" t="s">
        <v>38</v>
      </c>
      <c r="AL73" s="147" t="s">
        <v>38</v>
      </c>
      <c r="AM73" s="147" t="s">
        <v>38</v>
      </c>
      <c r="AN73" s="147" t="s">
        <v>38</v>
      </c>
      <c r="AO73" s="146"/>
      <c r="AP73" s="63"/>
    </row>
    <row r="74" spans="1:42" s="18" customFormat="1" ht="21.75" customHeight="1" x14ac:dyDescent="0.55000000000000004">
      <c r="A74" s="176" t="s">
        <v>85</v>
      </c>
      <c r="B74" s="267"/>
      <c r="C74" s="149">
        <f t="shared" ref="C74:Q74" si="46">SUM(C75:C88)</f>
        <v>0</v>
      </c>
      <c r="D74" s="149">
        <f t="shared" si="46"/>
        <v>6</v>
      </c>
      <c r="E74" s="149">
        <f t="shared" si="46"/>
        <v>12</v>
      </c>
      <c r="F74" s="149">
        <f t="shared" si="46"/>
        <v>15</v>
      </c>
      <c r="G74" s="149">
        <f t="shared" si="46"/>
        <v>0</v>
      </c>
      <c r="H74" s="149">
        <f t="shared" si="46"/>
        <v>1</v>
      </c>
      <c r="I74" s="149">
        <f t="shared" si="46"/>
        <v>18</v>
      </c>
      <c r="J74" s="149">
        <f t="shared" si="46"/>
        <v>46</v>
      </c>
      <c r="K74" s="150">
        <f t="shared" si="46"/>
        <v>98</v>
      </c>
      <c r="L74" s="150">
        <f t="shared" si="46"/>
        <v>1</v>
      </c>
      <c r="M74" s="151">
        <f t="shared" si="46"/>
        <v>97</v>
      </c>
      <c r="N74" s="67">
        <f t="shared" si="46"/>
        <v>2642.9455555555555</v>
      </c>
      <c r="O74" s="67">
        <f t="shared" si="46"/>
        <v>44.555999999999941</v>
      </c>
      <c r="P74" s="67">
        <f t="shared" si="46"/>
        <v>2687.5015555555556</v>
      </c>
      <c r="Q74" s="66">
        <f t="shared" si="46"/>
        <v>107.50006222222223</v>
      </c>
      <c r="R74" s="152">
        <f t="shared" si="39"/>
        <v>2821.8766333333333</v>
      </c>
      <c r="S74" s="66">
        <f>SUM(S75:S88)</f>
        <v>112.87506533333334</v>
      </c>
      <c r="T74" s="65">
        <f>SUM(T75:T88)</f>
        <v>2738</v>
      </c>
      <c r="U74" s="65">
        <f>SUM(U75:U88)</f>
        <v>55</v>
      </c>
      <c r="V74" s="154">
        <f t="shared" si="44"/>
        <v>2793</v>
      </c>
      <c r="W74" s="65">
        <f t="shared" si="13"/>
        <v>1396.5</v>
      </c>
      <c r="X74" s="65">
        <f>SUM(X75:X88)</f>
        <v>79.8</v>
      </c>
      <c r="Y74" s="155">
        <f t="shared" si="14"/>
        <v>99.75</v>
      </c>
      <c r="Z74" s="69">
        <f>SUM(Z75:Z88)</f>
        <v>10.50006222222223</v>
      </c>
      <c r="AA74" s="69">
        <f>SUM(AA75:AA88)</f>
        <v>-17.2</v>
      </c>
      <c r="AB74" s="69">
        <f t="shared" si="45"/>
        <v>2.75</v>
      </c>
      <c r="AC74" s="66">
        <f>SUM(AC75:AC88)</f>
        <v>66</v>
      </c>
      <c r="AD74" s="66">
        <v>0</v>
      </c>
      <c r="AE74" s="151">
        <f t="shared" ref="AE74:AN74" si="47">SUM(AE75:AE88)</f>
        <v>4</v>
      </c>
      <c r="AF74" s="151">
        <f t="shared" si="47"/>
        <v>0</v>
      </c>
      <c r="AG74" s="151">
        <f t="shared" si="47"/>
        <v>2</v>
      </c>
      <c r="AH74" s="151">
        <f t="shared" si="47"/>
        <v>0</v>
      </c>
      <c r="AI74" s="151">
        <f t="shared" si="47"/>
        <v>2</v>
      </c>
      <c r="AJ74" s="66">
        <f t="shared" si="47"/>
        <v>0</v>
      </c>
      <c r="AK74" s="66">
        <f t="shared" si="47"/>
        <v>0</v>
      </c>
      <c r="AL74" s="66">
        <f t="shared" si="47"/>
        <v>0</v>
      </c>
      <c r="AM74" s="66">
        <f t="shared" si="47"/>
        <v>0</v>
      </c>
      <c r="AN74" s="66">
        <f t="shared" si="47"/>
        <v>0</v>
      </c>
      <c r="AO74" s="156"/>
      <c r="AP74" s="72"/>
    </row>
    <row r="75" spans="1:42" ht="21.75" customHeight="1" x14ac:dyDescent="0.55000000000000004">
      <c r="A75" s="177" t="s">
        <v>86</v>
      </c>
      <c r="B75" s="268" t="s">
        <v>33</v>
      </c>
      <c r="C75" s="158" t="s">
        <v>38</v>
      </c>
      <c r="D75" s="75">
        <v>1</v>
      </c>
      <c r="E75" s="75">
        <v>2</v>
      </c>
      <c r="F75" s="75">
        <v>1</v>
      </c>
      <c r="G75" s="76" t="s">
        <v>38</v>
      </c>
      <c r="H75" s="76" t="s">
        <v>38</v>
      </c>
      <c r="I75" s="76">
        <v>3</v>
      </c>
      <c r="J75" s="77">
        <v>4</v>
      </c>
      <c r="K75" s="78">
        <f t="shared" ref="K75:K88" si="48">SUM(C75:J75)</f>
        <v>11</v>
      </c>
      <c r="L75" s="79">
        <v>0</v>
      </c>
      <c r="M75" s="124">
        <f>K75-L75</f>
        <v>11</v>
      </c>
      <c r="N75" s="81">
        <v>308.33</v>
      </c>
      <c r="O75" s="81">
        <v>0</v>
      </c>
      <c r="P75" s="82">
        <f>SUM(N75:O75)</f>
        <v>308.33</v>
      </c>
      <c r="Q75" s="83">
        <f t="shared" ref="Q75:Q90" si="49">P75/25</f>
        <v>12.3332</v>
      </c>
      <c r="R75" s="84">
        <f t="shared" si="39"/>
        <v>323.74649999999997</v>
      </c>
      <c r="S75" s="83">
        <f t="shared" ref="S75:S90" si="50">R75/25</f>
        <v>12.949859999999999</v>
      </c>
      <c r="T75" s="125">
        <v>318</v>
      </c>
      <c r="U75" s="85">
        <v>0</v>
      </c>
      <c r="V75" s="136">
        <f t="shared" si="44"/>
        <v>318</v>
      </c>
      <c r="W75" s="78">
        <f t="shared" ref="W75:W108" si="51">V75/2</f>
        <v>159</v>
      </c>
      <c r="X75" s="87">
        <f t="shared" ref="X75:X108" si="52">V75/35</f>
        <v>9.0857142857142854</v>
      </c>
      <c r="Y75" s="88">
        <f t="shared" ref="Y75:Y108" si="53">W75/14</f>
        <v>11.357142857142858</v>
      </c>
      <c r="Z75" s="89">
        <f t="shared" ref="Z75:Z100" si="54">Q75-M75</f>
        <v>1.3331999999999997</v>
      </c>
      <c r="AA75" s="89">
        <f t="shared" ref="AA75:AA100" si="55">X75-M75</f>
        <v>-1.9142857142857146</v>
      </c>
      <c r="AB75" s="89">
        <f t="shared" si="45"/>
        <v>0.35714285714285765</v>
      </c>
      <c r="AC75" s="145">
        <v>5</v>
      </c>
      <c r="AD75" s="128" t="s">
        <v>38</v>
      </c>
      <c r="AE75" s="94" t="s">
        <v>38</v>
      </c>
      <c r="AF75" s="94" t="s">
        <v>38</v>
      </c>
      <c r="AG75" s="94" t="s">
        <v>38</v>
      </c>
      <c r="AH75" s="94" t="s">
        <v>38</v>
      </c>
      <c r="AI75" s="146">
        <v>1</v>
      </c>
      <c r="AJ75" s="147" t="s">
        <v>38</v>
      </c>
      <c r="AK75" s="147" t="s">
        <v>38</v>
      </c>
      <c r="AL75" s="147" t="s">
        <v>38</v>
      </c>
      <c r="AM75" s="147" t="s">
        <v>38</v>
      </c>
      <c r="AN75" s="147" t="s">
        <v>38</v>
      </c>
      <c r="AO75" s="146" t="s">
        <v>140</v>
      </c>
      <c r="AP75" s="63"/>
    </row>
    <row r="76" spans="1:42" ht="21.75" customHeight="1" x14ac:dyDescent="0.55000000000000004">
      <c r="A76" s="177" t="s">
        <v>87</v>
      </c>
      <c r="B76" s="268" t="s">
        <v>31</v>
      </c>
      <c r="C76" s="158" t="s">
        <v>38</v>
      </c>
      <c r="D76" s="75" t="s">
        <v>38</v>
      </c>
      <c r="E76" s="75">
        <v>2</v>
      </c>
      <c r="F76" s="75">
        <v>3</v>
      </c>
      <c r="G76" s="76" t="s">
        <v>38</v>
      </c>
      <c r="H76" s="76" t="s">
        <v>38</v>
      </c>
      <c r="I76" s="76">
        <v>2</v>
      </c>
      <c r="J76" s="77">
        <v>3</v>
      </c>
      <c r="K76" s="78">
        <f t="shared" si="48"/>
        <v>10</v>
      </c>
      <c r="L76" s="79">
        <v>0</v>
      </c>
      <c r="M76" s="124">
        <f>K76-L76</f>
        <v>10</v>
      </c>
      <c r="N76" s="98">
        <v>232.28</v>
      </c>
      <c r="O76" s="81">
        <v>0</v>
      </c>
      <c r="P76" s="82">
        <f>SUM(N76:O76)</f>
        <v>232.28</v>
      </c>
      <c r="Q76" s="83">
        <f t="shared" si="49"/>
        <v>9.2911999999999999</v>
      </c>
      <c r="R76" s="84">
        <f t="shared" si="39"/>
        <v>243.89400000000001</v>
      </c>
      <c r="S76" s="83">
        <f t="shared" si="50"/>
        <v>9.7557600000000004</v>
      </c>
      <c r="T76" s="125">
        <v>193</v>
      </c>
      <c r="U76" s="85">
        <v>0</v>
      </c>
      <c r="V76" s="136">
        <f t="shared" si="44"/>
        <v>193</v>
      </c>
      <c r="W76" s="78">
        <f t="shared" si="51"/>
        <v>96.5</v>
      </c>
      <c r="X76" s="87">
        <f t="shared" si="52"/>
        <v>5.5142857142857142</v>
      </c>
      <c r="Y76" s="88">
        <f t="shared" si="53"/>
        <v>6.8928571428571432</v>
      </c>
      <c r="Z76" s="89">
        <f t="shared" si="54"/>
        <v>-0.7088000000000001</v>
      </c>
      <c r="AA76" s="89">
        <f t="shared" si="55"/>
        <v>-4.4857142857142858</v>
      </c>
      <c r="AB76" s="89">
        <f t="shared" si="45"/>
        <v>-3.1071428571428568</v>
      </c>
      <c r="AC76" s="145">
        <v>5</v>
      </c>
      <c r="AD76" s="128" t="s">
        <v>38</v>
      </c>
      <c r="AE76" s="94" t="s">
        <v>38</v>
      </c>
      <c r="AF76" s="94" t="s">
        <v>38</v>
      </c>
      <c r="AG76" s="94" t="s">
        <v>38</v>
      </c>
      <c r="AH76" s="94" t="s">
        <v>38</v>
      </c>
      <c r="AI76" s="146">
        <v>1</v>
      </c>
      <c r="AJ76" s="147" t="s">
        <v>38</v>
      </c>
      <c r="AK76" s="147" t="s">
        <v>38</v>
      </c>
      <c r="AL76" s="147" t="s">
        <v>38</v>
      </c>
      <c r="AM76" s="147" t="s">
        <v>38</v>
      </c>
      <c r="AN76" s="147" t="s">
        <v>38</v>
      </c>
      <c r="AO76" s="146" t="s">
        <v>140</v>
      </c>
      <c r="AP76" s="63"/>
    </row>
    <row r="77" spans="1:42" ht="21.75" customHeight="1" x14ac:dyDescent="0.55000000000000004">
      <c r="A77" s="177" t="s">
        <v>88</v>
      </c>
      <c r="B77" s="268" t="s">
        <v>31</v>
      </c>
      <c r="C77" s="158" t="s">
        <v>38</v>
      </c>
      <c r="D77" s="75" t="s">
        <v>38</v>
      </c>
      <c r="E77" s="75">
        <v>1</v>
      </c>
      <c r="F77" s="75">
        <v>1</v>
      </c>
      <c r="G77" s="76" t="s">
        <v>38</v>
      </c>
      <c r="H77" s="76" t="s">
        <v>38</v>
      </c>
      <c r="I77" s="76" t="s">
        <v>38</v>
      </c>
      <c r="J77" s="77">
        <v>4</v>
      </c>
      <c r="K77" s="78">
        <f t="shared" si="48"/>
        <v>6</v>
      </c>
      <c r="L77" s="79">
        <v>0</v>
      </c>
      <c r="M77" s="80">
        <f>K77-L77</f>
        <v>6</v>
      </c>
      <c r="N77" s="98">
        <v>213.11</v>
      </c>
      <c r="O77" s="81">
        <v>0</v>
      </c>
      <c r="P77" s="82">
        <f>SUM(N77:O77)</f>
        <v>213.11</v>
      </c>
      <c r="Q77" s="83">
        <f t="shared" si="49"/>
        <v>8.5244</v>
      </c>
      <c r="R77" s="84">
        <f t="shared" si="39"/>
        <v>223.7655</v>
      </c>
      <c r="S77" s="83">
        <f t="shared" si="50"/>
        <v>8.9506200000000007</v>
      </c>
      <c r="T77" s="125">
        <v>154</v>
      </c>
      <c r="U77" s="85">
        <v>0</v>
      </c>
      <c r="V77" s="136">
        <f t="shared" si="44"/>
        <v>154</v>
      </c>
      <c r="W77" s="78">
        <f t="shared" si="51"/>
        <v>77</v>
      </c>
      <c r="X77" s="87">
        <f t="shared" si="52"/>
        <v>4.4000000000000004</v>
      </c>
      <c r="Y77" s="88">
        <f t="shared" si="53"/>
        <v>5.5</v>
      </c>
      <c r="Z77" s="89">
        <f t="shared" si="54"/>
        <v>2.5244</v>
      </c>
      <c r="AA77" s="89">
        <f t="shared" si="55"/>
        <v>-1.5999999999999996</v>
      </c>
      <c r="AB77" s="89">
        <f t="shared" si="45"/>
        <v>-0.5</v>
      </c>
      <c r="AC77" s="145">
        <v>5</v>
      </c>
      <c r="AD77" s="128" t="s">
        <v>38</v>
      </c>
      <c r="AE77" s="94" t="s">
        <v>38</v>
      </c>
      <c r="AF77" s="94" t="s">
        <v>38</v>
      </c>
      <c r="AG77" s="94" t="s">
        <v>38</v>
      </c>
      <c r="AH77" s="94" t="s">
        <v>38</v>
      </c>
      <c r="AI77" s="94" t="s">
        <v>38</v>
      </c>
      <c r="AJ77" s="147" t="s">
        <v>38</v>
      </c>
      <c r="AK77" s="147" t="s">
        <v>38</v>
      </c>
      <c r="AL77" s="147" t="s">
        <v>38</v>
      </c>
      <c r="AM77" s="147" t="s">
        <v>38</v>
      </c>
      <c r="AN77" s="147" t="s">
        <v>38</v>
      </c>
      <c r="AO77" s="146"/>
      <c r="AP77" s="63"/>
    </row>
    <row r="78" spans="1:42" ht="21.75" customHeight="1" x14ac:dyDescent="0.45">
      <c r="A78" s="344" t="s">
        <v>89</v>
      </c>
      <c r="B78" s="268" t="s">
        <v>39</v>
      </c>
      <c r="C78" s="158" t="s">
        <v>38</v>
      </c>
      <c r="D78" s="75" t="s">
        <v>38</v>
      </c>
      <c r="E78" s="75" t="s">
        <v>38</v>
      </c>
      <c r="F78" s="75">
        <v>1</v>
      </c>
      <c r="G78" s="76" t="s">
        <v>38</v>
      </c>
      <c r="H78" s="76" t="s">
        <v>38</v>
      </c>
      <c r="I78" s="76">
        <v>1</v>
      </c>
      <c r="J78" s="77" t="s">
        <v>38</v>
      </c>
      <c r="K78" s="78">
        <f t="shared" si="48"/>
        <v>2</v>
      </c>
      <c r="L78" s="79"/>
      <c r="M78" s="80">
        <v>2</v>
      </c>
      <c r="N78" s="98">
        <v>0</v>
      </c>
      <c r="O78" s="81">
        <f>8.92*1.8</f>
        <v>16.056000000000001</v>
      </c>
      <c r="P78" s="82">
        <f>SUM(N78:O78)</f>
        <v>16.056000000000001</v>
      </c>
      <c r="Q78" s="83">
        <f t="shared" si="49"/>
        <v>0.64224000000000003</v>
      </c>
      <c r="R78" s="84">
        <f t="shared" si="39"/>
        <v>16.858800000000002</v>
      </c>
      <c r="S78" s="83">
        <f t="shared" si="50"/>
        <v>0.67435200000000006</v>
      </c>
      <c r="T78" s="96">
        <v>0</v>
      </c>
      <c r="U78" s="179">
        <v>19</v>
      </c>
      <c r="V78" s="136">
        <f t="shared" si="44"/>
        <v>19</v>
      </c>
      <c r="W78" s="78">
        <f t="shared" si="51"/>
        <v>9.5</v>
      </c>
      <c r="X78" s="87">
        <f t="shared" si="52"/>
        <v>0.54285714285714282</v>
      </c>
      <c r="Y78" s="88">
        <f t="shared" si="53"/>
        <v>0.6785714285714286</v>
      </c>
      <c r="Z78" s="89">
        <f t="shared" si="54"/>
        <v>-1.3577599999999999</v>
      </c>
      <c r="AA78" s="89">
        <f t="shared" si="55"/>
        <v>-1.4571428571428573</v>
      </c>
      <c r="AB78" s="89">
        <f t="shared" si="45"/>
        <v>-1.3214285714285714</v>
      </c>
      <c r="AC78" s="145">
        <v>3</v>
      </c>
      <c r="AD78" s="128" t="s">
        <v>38</v>
      </c>
      <c r="AE78" s="94" t="s">
        <v>38</v>
      </c>
      <c r="AF78" s="94" t="s">
        <v>38</v>
      </c>
      <c r="AG78" s="94" t="s">
        <v>38</v>
      </c>
      <c r="AH78" s="94" t="s">
        <v>38</v>
      </c>
      <c r="AI78" s="94" t="s">
        <v>38</v>
      </c>
      <c r="AJ78" s="147" t="s">
        <v>38</v>
      </c>
      <c r="AK78" s="147" t="s">
        <v>38</v>
      </c>
      <c r="AL78" s="147" t="s">
        <v>38</v>
      </c>
      <c r="AM78" s="147" t="s">
        <v>38</v>
      </c>
      <c r="AN78" s="147" t="s">
        <v>38</v>
      </c>
      <c r="AO78" s="146"/>
      <c r="AP78" s="63"/>
    </row>
    <row r="79" spans="1:42" ht="21.75" customHeight="1" x14ac:dyDescent="0.45">
      <c r="A79" s="344"/>
      <c r="B79" s="269" t="s">
        <v>32</v>
      </c>
      <c r="C79" s="75" t="s">
        <v>38</v>
      </c>
      <c r="D79" s="75" t="s">
        <v>38</v>
      </c>
      <c r="E79" s="75" t="s">
        <v>38</v>
      </c>
      <c r="F79" s="75" t="s">
        <v>38</v>
      </c>
      <c r="G79" s="76" t="s">
        <v>38</v>
      </c>
      <c r="H79" s="76" t="s">
        <v>38</v>
      </c>
      <c r="I79" s="76" t="s">
        <v>38</v>
      </c>
      <c r="J79" s="77" t="s">
        <v>38</v>
      </c>
      <c r="K79" s="78">
        <f t="shared" si="48"/>
        <v>0</v>
      </c>
      <c r="L79" s="139">
        <v>0</v>
      </c>
      <c r="M79" s="80">
        <f t="shared" ref="M79:M88" si="56">K79-L79</f>
        <v>0</v>
      </c>
      <c r="N79" s="181">
        <v>0</v>
      </c>
      <c r="O79" s="98">
        <f>15.8333333333333*1.8</f>
        <v>28.49999999999994</v>
      </c>
      <c r="P79" s="82">
        <f>SUM(O79:O79)</f>
        <v>28.49999999999994</v>
      </c>
      <c r="Q79" s="83">
        <f t="shared" si="49"/>
        <v>1.1399999999999977</v>
      </c>
      <c r="R79" s="84">
        <f t="shared" si="39"/>
        <v>29.924999999999937</v>
      </c>
      <c r="S79" s="83">
        <f t="shared" si="50"/>
        <v>1.1969999999999974</v>
      </c>
      <c r="T79" s="85">
        <v>0</v>
      </c>
      <c r="U79" s="86">
        <v>36</v>
      </c>
      <c r="V79" s="136">
        <f t="shared" si="44"/>
        <v>36</v>
      </c>
      <c r="W79" s="78">
        <f t="shared" si="51"/>
        <v>18</v>
      </c>
      <c r="X79" s="87">
        <f t="shared" si="52"/>
        <v>1.0285714285714285</v>
      </c>
      <c r="Y79" s="88">
        <f t="shared" si="53"/>
        <v>1.2857142857142858</v>
      </c>
      <c r="Z79" s="100">
        <f t="shared" si="54"/>
        <v>1.1399999999999977</v>
      </c>
      <c r="AA79" s="100">
        <f t="shared" si="55"/>
        <v>1.0285714285714285</v>
      </c>
      <c r="AB79" s="100">
        <f t="shared" si="45"/>
        <v>1.2857142857142858</v>
      </c>
      <c r="AC79" s="145">
        <v>3</v>
      </c>
      <c r="AD79" s="128" t="s">
        <v>38</v>
      </c>
      <c r="AE79" s="94" t="s">
        <v>38</v>
      </c>
      <c r="AF79" s="94" t="s">
        <v>38</v>
      </c>
      <c r="AG79" s="94" t="s">
        <v>38</v>
      </c>
      <c r="AH79" s="94" t="s">
        <v>38</v>
      </c>
      <c r="AI79" s="94" t="s">
        <v>38</v>
      </c>
      <c r="AJ79" s="147" t="s">
        <v>38</v>
      </c>
      <c r="AK79" s="147" t="s">
        <v>38</v>
      </c>
      <c r="AL79" s="147" t="s">
        <v>38</v>
      </c>
      <c r="AM79" s="147" t="s">
        <v>38</v>
      </c>
      <c r="AN79" s="147" t="s">
        <v>38</v>
      </c>
      <c r="AO79" s="146" t="s">
        <v>138</v>
      </c>
      <c r="AP79" s="63"/>
    </row>
    <row r="80" spans="1:42" ht="21.75" customHeight="1" x14ac:dyDescent="0.45">
      <c r="A80" s="344"/>
      <c r="B80" s="268" t="s">
        <v>257</v>
      </c>
      <c r="C80" s="75" t="s">
        <v>38</v>
      </c>
      <c r="D80" s="75" t="s">
        <v>38</v>
      </c>
      <c r="E80" s="75">
        <v>1</v>
      </c>
      <c r="F80" s="75" t="s">
        <v>38</v>
      </c>
      <c r="G80" s="76" t="s">
        <v>38</v>
      </c>
      <c r="H80" s="76" t="s">
        <v>38</v>
      </c>
      <c r="I80" s="76">
        <v>3</v>
      </c>
      <c r="J80" s="77">
        <v>5</v>
      </c>
      <c r="K80" s="78">
        <f t="shared" si="48"/>
        <v>9</v>
      </c>
      <c r="L80" s="79">
        <v>1</v>
      </c>
      <c r="M80" s="80">
        <f t="shared" si="56"/>
        <v>8</v>
      </c>
      <c r="N80" s="98">
        <v>427.13888888888891</v>
      </c>
      <c r="O80" s="81">
        <v>0</v>
      </c>
      <c r="P80" s="82">
        <f t="shared" ref="P80:P90" si="57">SUM(N80:O80)</f>
        <v>427.13888888888891</v>
      </c>
      <c r="Q80" s="83">
        <f t="shared" si="49"/>
        <v>17.085555555555558</v>
      </c>
      <c r="R80" s="84">
        <f t="shared" si="39"/>
        <v>448.49583333333334</v>
      </c>
      <c r="S80" s="83">
        <f t="shared" si="50"/>
        <v>17.939833333333333</v>
      </c>
      <c r="T80" s="85">
        <f>437+117</f>
        <v>554</v>
      </c>
      <c r="U80" s="125">
        <v>0</v>
      </c>
      <c r="V80" s="136">
        <f t="shared" si="44"/>
        <v>554</v>
      </c>
      <c r="W80" s="78">
        <f t="shared" si="51"/>
        <v>277</v>
      </c>
      <c r="X80" s="87">
        <f t="shared" si="52"/>
        <v>15.828571428571429</v>
      </c>
      <c r="Y80" s="88">
        <f t="shared" si="53"/>
        <v>19.785714285714285</v>
      </c>
      <c r="Z80" s="89">
        <f t="shared" si="54"/>
        <v>9.0855555555555583</v>
      </c>
      <c r="AA80" s="89">
        <f t="shared" si="55"/>
        <v>7.8285714285714292</v>
      </c>
      <c r="AB80" s="89">
        <f t="shared" si="45"/>
        <v>11.785714285714285</v>
      </c>
      <c r="AC80" s="145">
        <v>5</v>
      </c>
      <c r="AD80" s="128" t="s">
        <v>38</v>
      </c>
      <c r="AE80" s="94">
        <v>2</v>
      </c>
      <c r="AF80" s="94" t="s">
        <v>38</v>
      </c>
      <c r="AG80" s="94" t="s">
        <v>38</v>
      </c>
      <c r="AH80" s="94" t="s">
        <v>38</v>
      </c>
      <c r="AI80" s="94" t="s">
        <v>38</v>
      </c>
      <c r="AJ80" s="147" t="s">
        <v>38</v>
      </c>
      <c r="AK80" s="147" t="s">
        <v>38</v>
      </c>
      <c r="AL80" s="147" t="s">
        <v>38</v>
      </c>
      <c r="AM80" s="147" t="s">
        <v>38</v>
      </c>
      <c r="AN80" s="147" t="s">
        <v>38</v>
      </c>
      <c r="AO80" s="94" t="s">
        <v>132</v>
      </c>
      <c r="AP80" s="63"/>
    </row>
    <row r="81" spans="1:42" ht="21.75" customHeight="1" x14ac:dyDescent="0.45">
      <c r="A81" s="344"/>
      <c r="B81" s="268" t="s">
        <v>258</v>
      </c>
      <c r="C81" s="75" t="s">
        <v>38</v>
      </c>
      <c r="D81" s="75" t="s">
        <v>38</v>
      </c>
      <c r="E81" s="75" t="s">
        <v>38</v>
      </c>
      <c r="F81" s="75" t="s">
        <v>38</v>
      </c>
      <c r="G81" s="76" t="s">
        <v>38</v>
      </c>
      <c r="H81" s="76" t="s">
        <v>38</v>
      </c>
      <c r="I81" s="76">
        <v>1</v>
      </c>
      <c r="J81" s="77">
        <v>3</v>
      </c>
      <c r="K81" s="78">
        <f t="shared" si="48"/>
        <v>4</v>
      </c>
      <c r="L81" s="79">
        <v>0</v>
      </c>
      <c r="M81" s="80">
        <f t="shared" si="56"/>
        <v>4</v>
      </c>
      <c r="N81" s="98">
        <v>246.91666666666666</v>
      </c>
      <c r="O81" s="81">
        <v>0</v>
      </c>
      <c r="P81" s="82">
        <f t="shared" si="57"/>
        <v>246.91666666666666</v>
      </c>
      <c r="Q81" s="83">
        <f t="shared" si="49"/>
        <v>9.8766666666666669</v>
      </c>
      <c r="R81" s="84">
        <f t="shared" si="39"/>
        <v>259.26249999999999</v>
      </c>
      <c r="S81" s="83">
        <f t="shared" si="50"/>
        <v>10.3705</v>
      </c>
      <c r="T81" s="125">
        <v>115</v>
      </c>
      <c r="U81" s="85">
        <v>0</v>
      </c>
      <c r="V81" s="136">
        <f t="shared" si="44"/>
        <v>115</v>
      </c>
      <c r="W81" s="78">
        <f t="shared" si="51"/>
        <v>57.5</v>
      </c>
      <c r="X81" s="87">
        <f t="shared" si="52"/>
        <v>3.2857142857142856</v>
      </c>
      <c r="Y81" s="88">
        <f t="shared" si="53"/>
        <v>4.1071428571428568</v>
      </c>
      <c r="Z81" s="89">
        <f t="shared" si="54"/>
        <v>5.8766666666666669</v>
      </c>
      <c r="AA81" s="89">
        <f t="shared" si="55"/>
        <v>-0.71428571428571441</v>
      </c>
      <c r="AB81" s="89">
        <f t="shared" si="45"/>
        <v>0.10714285714285676</v>
      </c>
      <c r="AC81" s="145">
        <v>5</v>
      </c>
      <c r="AD81" s="128" t="s">
        <v>38</v>
      </c>
      <c r="AE81" s="94" t="s">
        <v>38</v>
      </c>
      <c r="AF81" s="94" t="s">
        <v>38</v>
      </c>
      <c r="AG81" s="94" t="s">
        <v>38</v>
      </c>
      <c r="AH81" s="94" t="s">
        <v>38</v>
      </c>
      <c r="AI81" s="94" t="s">
        <v>38</v>
      </c>
      <c r="AJ81" s="147" t="s">
        <v>38</v>
      </c>
      <c r="AK81" s="147" t="s">
        <v>38</v>
      </c>
      <c r="AL81" s="147" t="s">
        <v>38</v>
      </c>
      <c r="AM81" s="147" t="s">
        <v>38</v>
      </c>
      <c r="AN81" s="147" t="s">
        <v>38</v>
      </c>
      <c r="AO81" s="146" t="s">
        <v>134</v>
      </c>
      <c r="AP81" s="63"/>
    </row>
    <row r="82" spans="1:42" ht="21.75" customHeight="1" x14ac:dyDescent="0.45">
      <c r="A82" s="344"/>
      <c r="B82" s="268" t="s">
        <v>259</v>
      </c>
      <c r="C82" s="75" t="s">
        <v>38</v>
      </c>
      <c r="D82" s="75" t="s">
        <v>38</v>
      </c>
      <c r="E82" s="75" t="s">
        <v>38</v>
      </c>
      <c r="F82" s="75">
        <v>1</v>
      </c>
      <c r="G82" s="76" t="s">
        <v>38</v>
      </c>
      <c r="H82" s="76" t="s">
        <v>38</v>
      </c>
      <c r="I82" s="76">
        <v>3</v>
      </c>
      <c r="J82" s="77">
        <v>2</v>
      </c>
      <c r="K82" s="78">
        <f t="shared" si="48"/>
        <v>6</v>
      </c>
      <c r="L82" s="79">
        <v>0</v>
      </c>
      <c r="M82" s="124">
        <f t="shared" si="56"/>
        <v>6</v>
      </c>
      <c r="N82" s="81">
        <v>19.472222222222221</v>
      </c>
      <c r="O82" s="81">
        <v>0</v>
      </c>
      <c r="P82" s="82">
        <f t="shared" si="57"/>
        <v>19.472222222222221</v>
      </c>
      <c r="Q82" s="83">
        <f t="shared" si="49"/>
        <v>0.77888888888888885</v>
      </c>
      <c r="R82" s="84">
        <f t="shared" si="39"/>
        <v>20.445833333333333</v>
      </c>
      <c r="S82" s="83">
        <f t="shared" si="50"/>
        <v>0.8178333333333333</v>
      </c>
      <c r="T82" s="125">
        <v>115</v>
      </c>
      <c r="U82" s="85">
        <v>0</v>
      </c>
      <c r="V82" s="136">
        <f t="shared" si="44"/>
        <v>115</v>
      </c>
      <c r="W82" s="78">
        <f t="shared" si="51"/>
        <v>57.5</v>
      </c>
      <c r="X82" s="87">
        <f t="shared" si="52"/>
        <v>3.2857142857142856</v>
      </c>
      <c r="Y82" s="88">
        <f t="shared" si="53"/>
        <v>4.1071428571428568</v>
      </c>
      <c r="Z82" s="89">
        <f t="shared" si="54"/>
        <v>-5.221111111111111</v>
      </c>
      <c r="AA82" s="89">
        <f t="shared" si="55"/>
        <v>-2.7142857142857144</v>
      </c>
      <c r="AB82" s="89">
        <f t="shared" si="45"/>
        <v>-1.8928571428571432</v>
      </c>
      <c r="AC82" s="145">
        <v>5</v>
      </c>
      <c r="AD82" s="128" t="s">
        <v>38</v>
      </c>
      <c r="AE82" s="94">
        <v>1</v>
      </c>
      <c r="AF82" s="94" t="s">
        <v>38</v>
      </c>
      <c r="AG82" s="94" t="s">
        <v>38</v>
      </c>
      <c r="AH82" s="94" t="s">
        <v>38</v>
      </c>
      <c r="AI82" s="94" t="s">
        <v>38</v>
      </c>
      <c r="AJ82" s="147" t="s">
        <v>38</v>
      </c>
      <c r="AK82" s="147" t="s">
        <v>38</v>
      </c>
      <c r="AL82" s="147" t="s">
        <v>38</v>
      </c>
      <c r="AM82" s="147" t="s">
        <v>38</v>
      </c>
      <c r="AN82" s="147" t="s">
        <v>38</v>
      </c>
      <c r="AO82" s="146" t="s">
        <v>140</v>
      </c>
      <c r="AP82" s="63"/>
    </row>
    <row r="83" spans="1:42" ht="21.75" customHeight="1" x14ac:dyDescent="0.55000000000000004">
      <c r="A83" s="177" t="s">
        <v>90</v>
      </c>
      <c r="B83" s="268" t="s">
        <v>31</v>
      </c>
      <c r="C83" s="158" t="s">
        <v>38</v>
      </c>
      <c r="D83" s="75">
        <v>2</v>
      </c>
      <c r="E83" s="75">
        <v>2</v>
      </c>
      <c r="F83" s="75">
        <v>3</v>
      </c>
      <c r="G83" s="76" t="s">
        <v>38</v>
      </c>
      <c r="H83" s="76" t="s">
        <v>38</v>
      </c>
      <c r="I83" s="76">
        <v>1</v>
      </c>
      <c r="J83" s="77">
        <v>2</v>
      </c>
      <c r="K83" s="78">
        <f t="shared" si="48"/>
        <v>10</v>
      </c>
      <c r="L83" s="79">
        <v>0</v>
      </c>
      <c r="M83" s="124">
        <f t="shared" si="56"/>
        <v>10</v>
      </c>
      <c r="N83" s="81">
        <v>319.22000000000003</v>
      </c>
      <c r="O83" s="81">
        <v>0</v>
      </c>
      <c r="P83" s="82">
        <f t="shared" si="57"/>
        <v>319.22000000000003</v>
      </c>
      <c r="Q83" s="83">
        <f t="shared" si="49"/>
        <v>12.768800000000001</v>
      </c>
      <c r="R83" s="84">
        <f t="shared" si="39"/>
        <v>335.18100000000004</v>
      </c>
      <c r="S83" s="83">
        <f t="shared" si="50"/>
        <v>13.407240000000002</v>
      </c>
      <c r="T83" s="125">
        <v>250</v>
      </c>
      <c r="U83" s="85">
        <v>0</v>
      </c>
      <c r="V83" s="136">
        <f t="shared" si="44"/>
        <v>250</v>
      </c>
      <c r="W83" s="78">
        <f t="shared" si="51"/>
        <v>125</v>
      </c>
      <c r="X83" s="87">
        <f t="shared" si="52"/>
        <v>7.1428571428571432</v>
      </c>
      <c r="Y83" s="88">
        <f t="shared" si="53"/>
        <v>8.9285714285714288</v>
      </c>
      <c r="Z83" s="89">
        <f t="shared" si="54"/>
        <v>2.7688000000000006</v>
      </c>
      <c r="AA83" s="89">
        <f t="shared" si="55"/>
        <v>-2.8571428571428568</v>
      </c>
      <c r="AB83" s="89">
        <f t="shared" si="45"/>
        <v>-1.0714285714285712</v>
      </c>
      <c r="AC83" s="145">
        <v>5</v>
      </c>
      <c r="AD83" s="128" t="s">
        <v>38</v>
      </c>
      <c r="AE83" s="94" t="s">
        <v>38</v>
      </c>
      <c r="AF83" s="94" t="s">
        <v>38</v>
      </c>
      <c r="AG83" s="94">
        <v>2</v>
      </c>
      <c r="AH83" s="94" t="s">
        <v>38</v>
      </c>
      <c r="AI83" s="94" t="s">
        <v>38</v>
      </c>
      <c r="AJ83" s="147" t="s">
        <v>38</v>
      </c>
      <c r="AK83" s="147" t="s">
        <v>38</v>
      </c>
      <c r="AL83" s="147" t="s">
        <v>38</v>
      </c>
      <c r="AM83" s="147" t="s">
        <v>38</v>
      </c>
      <c r="AN83" s="147" t="s">
        <v>38</v>
      </c>
      <c r="AO83" s="146" t="s">
        <v>137</v>
      </c>
      <c r="AP83" s="63"/>
    </row>
    <row r="84" spans="1:42" ht="21.75" customHeight="1" x14ac:dyDescent="0.55000000000000004">
      <c r="A84" s="177" t="s">
        <v>91</v>
      </c>
      <c r="B84" s="268" t="s">
        <v>31</v>
      </c>
      <c r="C84" s="158" t="s">
        <v>38</v>
      </c>
      <c r="D84" s="75" t="s">
        <v>38</v>
      </c>
      <c r="E84" s="75" t="s">
        <v>38</v>
      </c>
      <c r="F84" s="75">
        <v>2</v>
      </c>
      <c r="G84" s="76" t="s">
        <v>38</v>
      </c>
      <c r="H84" s="76" t="s">
        <v>38</v>
      </c>
      <c r="I84" s="76">
        <v>3</v>
      </c>
      <c r="J84" s="77">
        <v>10</v>
      </c>
      <c r="K84" s="78">
        <f t="shared" si="48"/>
        <v>15</v>
      </c>
      <c r="L84" s="79">
        <v>0</v>
      </c>
      <c r="M84" s="124">
        <f t="shared" si="56"/>
        <v>15</v>
      </c>
      <c r="N84" s="81">
        <v>204.64</v>
      </c>
      <c r="O84" s="81">
        <v>0</v>
      </c>
      <c r="P84" s="82">
        <f t="shared" si="57"/>
        <v>204.64</v>
      </c>
      <c r="Q84" s="83">
        <f t="shared" si="49"/>
        <v>8.1855999999999991</v>
      </c>
      <c r="R84" s="84">
        <f t="shared" si="39"/>
        <v>214.87199999999999</v>
      </c>
      <c r="S84" s="83">
        <f t="shared" si="50"/>
        <v>8.5948799999999999</v>
      </c>
      <c r="T84" s="125">
        <v>361</v>
      </c>
      <c r="U84" s="85">
        <v>0</v>
      </c>
      <c r="V84" s="136">
        <f t="shared" si="44"/>
        <v>361</v>
      </c>
      <c r="W84" s="78">
        <f t="shared" si="51"/>
        <v>180.5</v>
      </c>
      <c r="X84" s="87">
        <f t="shared" si="52"/>
        <v>10.314285714285715</v>
      </c>
      <c r="Y84" s="88">
        <f t="shared" si="53"/>
        <v>12.892857142857142</v>
      </c>
      <c r="Z84" s="89">
        <f t="shared" si="54"/>
        <v>-6.8144000000000009</v>
      </c>
      <c r="AA84" s="89">
        <f t="shared" si="55"/>
        <v>-4.6857142857142851</v>
      </c>
      <c r="AB84" s="89">
        <f t="shared" si="45"/>
        <v>-2.1071428571428577</v>
      </c>
      <c r="AC84" s="145">
        <v>5</v>
      </c>
      <c r="AD84" s="128" t="s">
        <v>38</v>
      </c>
      <c r="AE84" s="94" t="s">
        <v>38</v>
      </c>
      <c r="AF84" s="94" t="s">
        <v>38</v>
      </c>
      <c r="AG84" s="94" t="s">
        <v>38</v>
      </c>
      <c r="AH84" s="94" t="s">
        <v>38</v>
      </c>
      <c r="AI84" s="94" t="s">
        <v>38</v>
      </c>
      <c r="AJ84" s="147" t="s">
        <v>38</v>
      </c>
      <c r="AK84" s="147" t="s">
        <v>38</v>
      </c>
      <c r="AL84" s="147" t="s">
        <v>38</v>
      </c>
      <c r="AM84" s="147" t="s">
        <v>38</v>
      </c>
      <c r="AN84" s="147" t="s">
        <v>38</v>
      </c>
      <c r="AO84" s="146"/>
      <c r="AP84" s="63"/>
    </row>
    <row r="85" spans="1:42" ht="21.75" customHeight="1" x14ac:dyDescent="0.55000000000000004">
      <c r="A85" s="177" t="s">
        <v>92</v>
      </c>
      <c r="B85" s="268" t="s">
        <v>31</v>
      </c>
      <c r="C85" s="158" t="s">
        <v>38</v>
      </c>
      <c r="D85" s="75" t="s">
        <v>38</v>
      </c>
      <c r="E85" s="75">
        <v>1</v>
      </c>
      <c r="F85" s="75" t="s">
        <v>38</v>
      </c>
      <c r="G85" s="76" t="s">
        <v>38</v>
      </c>
      <c r="H85" s="76" t="s">
        <v>38</v>
      </c>
      <c r="I85" s="76" t="s">
        <v>38</v>
      </c>
      <c r="J85" s="77">
        <v>4</v>
      </c>
      <c r="K85" s="78">
        <f t="shared" si="48"/>
        <v>5</v>
      </c>
      <c r="L85" s="79">
        <v>0</v>
      </c>
      <c r="M85" s="124">
        <f t="shared" si="56"/>
        <v>5</v>
      </c>
      <c r="N85" s="81">
        <v>149.56</v>
      </c>
      <c r="O85" s="81">
        <v>0</v>
      </c>
      <c r="P85" s="82">
        <f t="shared" si="57"/>
        <v>149.56</v>
      </c>
      <c r="Q85" s="83">
        <f t="shared" si="49"/>
        <v>5.9824000000000002</v>
      </c>
      <c r="R85" s="84">
        <f t="shared" ref="R85:R106" si="58">(P85*0.05)+P85</f>
        <v>157.03800000000001</v>
      </c>
      <c r="S85" s="83">
        <f t="shared" si="50"/>
        <v>6.2815200000000004</v>
      </c>
      <c r="T85" s="125">
        <v>115</v>
      </c>
      <c r="U85" s="85">
        <v>0</v>
      </c>
      <c r="V85" s="136">
        <f t="shared" si="44"/>
        <v>115</v>
      </c>
      <c r="W85" s="78">
        <f t="shared" si="51"/>
        <v>57.5</v>
      </c>
      <c r="X85" s="87">
        <f t="shared" si="52"/>
        <v>3.2857142857142856</v>
      </c>
      <c r="Y85" s="88">
        <f t="shared" si="53"/>
        <v>4.1071428571428568</v>
      </c>
      <c r="Z85" s="89">
        <f t="shared" si="54"/>
        <v>0.98240000000000016</v>
      </c>
      <c r="AA85" s="89">
        <f t="shared" si="55"/>
        <v>-1.7142857142857144</v>
      </c>
      <c r="AB85" s="89">
        <f t="shared" si="45"/>
        <v>-0.89285714285714324</v>
      </c>
      <c r="AC85" s="145">
        <v>5</v>
      </c>
      <c r="AD85" s="128" t="s">
        <v>38</v>
      </c>
      <c r="AE85" s="94" t="s">
        <v>38</v>
      </c>
      <c r="AF85" s="94" t="s">
        <v>38</v>
      </c>
      <c r="AG85" s="94" t="s">
        <v>38</v>
      </c>
      <c r="AH85" s="94" t="s">
        <v>38</v>
      </c>
      <c r="AI85" s="94" t="s">
        <v>38</v>
      </c>
      <c r="AJ85" s="147" t="s">
        <v>38</v>
      </c>
      <c r="AK85" s="147" t="s">
        <v>38</v>
      </c>
      <c r="AL85" s="147" t="s">
        <v>38</v>
      </c>
      <c r="AM85" s="147" t="s">
        <v>38</v>
      </c>
      <c r="AN85" s="147" t="s">
        <v>38</v>
      </c>
      <c r="AO85" s="146"/>
      <c r="AP85" s="63"/>
    </row>
    <row r="86" spans="1:42" ht="21.75" customHeight="1" x14ac:dyDescent="0.55000000000000004">
      <c r="A86" s="177" t="s">
        <v>93</v>
      </c>
      <c r="B86" s="268" t="s">
        <v>30</v>
      </c>
      <c r="C86" s="158" t="s">
        <v>38</v>
      </c>
      <c r="D86" s="75">
        <v>3</v>
      </c>
      <c r="E86" s="75" t="s">
        <v>38</v>
      </c>
      <c r="F86" s="75">
        <v>1</v>
      </c>
      <c r="G86" s="76" t="s">
        <v>38</v>
      </c>
      <c r="H86" s="76">
        <v>1</v>
      </c>
      <c r="I86" s="76">
        <v>1</v>
      </c>
      <c r="J86" s="77">
        <v>2</v>
      </c>
      <c r="K86" s="78">
        <f t="shared" si="48"/>
        <v>8</v>
      </c>
      <c r="L86" s="79">
        <v>0</v>
      </c>
      <c r="M86" s="124">
        <f t="shared" si="56"/>
        <v>8</v>
      </c>
      <c r="N86" s="81">
        <v>54.694444444444443</v>
      </c>
      <c r="O86" s="81">
        <v>0</v>
      </c>
      <c r="P86" s="82">
        <f t="shared" si="57"/>
        <v>54.694444444444443</v>
      </c>
      <c r="Q86" s="83">
        <f t="shared" si="49"/>
        <v>2.1877777777777778</v>
      </c>
      <c r="R86" s="84">
        <f t="shared" si="58"/>
        <v>57.429166666666667</v>
      </c>
      <c r="S86" s="83">
        <f t="shared" si="50"/>
        <v>2.2971666666666666</v>
      </c>
      <c r="T86" s="125">
        <v>203</v>
      </c>
      <c r="U86" s="85">
        <v>0</v>
      </c>
      <c r="V86" s="136">
        <f t="shared" si="44"/>
        <v>203</v>
      </c>
      <c r="W86" s="78">
        <f t="shared" si="51"/>
        <v>101.5</v>
      </c>
      <c r="X86" s="87">
        <f t="shared" si="52"/>
        <v>5.8</v>
      </c>
      <c r="Y86" s="88">
        <f t="shared" si="53"/>
        <v>7.25</v>
      </c>
      <c r="Z86" s="89">
        <f t="shared" si="54"/>
        <v>-5.8122222222222222</v>
      </c>
      <c r="AA86" s="89">
        <f t="shared" si="55"/>
        <v>-2.2000000000000002</v>
      </c>
      <c r="AB86" s="89">
        <f t="shared" si="45"/>
        <v>-0.75</v>
      </c>
      <c r="AC86" s="145">
        <v>5</v>
      </c>
      <c r="AD86" s="128" t="s">
        <v>38</v>
      </c>
      <c r="AE86" s="94">
        <v>1</v>
      </c>
      <c r="AF86" s="94" t="s">
        <v>38</v>
      </c>
      <c r="AG86" s="94" t="s">
        <v>38</v>
      </c>
      <c r="AH86" s="94" t="s">
        <v>38</v>
      </c>
      <c r="AI86" s="94" t="s">
        <v>38</v>
      </c>
      <c r="AJ86" s="147" t="s">
        <v>38</v>
      </c>
      <c r="AK86" s="147" t="s">
        <v>38</v>
      </c>
      <c r="AL86" s="147" t="s">
        <v>38</v>
      </c>
      <c r="AM86" s="147" t="s">
        <v>38</v>
      </c>
      <c r="AN86" s="147" t="s">
        <v>38</v>
      </c>
      <c r="AO86" s="146"/>
      <c r="AP86" s="63"/>
    </row>
    <row r="87" spans="1:42" ht="21.75" customHeight="1" x14ac:dyDescent="0.45">
      <c r="A87" s="344" t="s">
        <v>94</v>
      </c>
      <c r="B87" s="268" t="s">
        <v>260</v>
      </c>
      <c r="C87" s="158" t="s">
        <v>38</v>
      </c>
      <c r="D87" s="75" t="s">
        <v>38</v>
      </c>
      <c r="E87" s="75">
        <v>1</v>
      </c>
      <c r="F87" s="75">
        <v>1</v>
      </c>
      <c r="G87" s="76" t="s">
        <v>38</v>
      </c>
      <c r="H87" s="76" t="s">
        <v>38</v>
      </c>
      <c r="I87" s="76" t="s">
        <v>38</v>
      </c>
      <c r="J87" s="77">
        <v>3</v>
      </c>
      <c r="K87" s="78">
        <f t="shared" si="48"/>
        <v>5</v>
      </c>
      <c r="L87" s="79">
        <v>0</v>
      </c>
      <c r="M87" s="124">
        <f t="shared" si="56"/>
        <v>5</v>
      </c>
      <c r="N87" s="81">
        <v>273.38888888888903</v>
      </c>
      <c r="O87" s="81">
        <v>0</v>
      </c>
      <c r="P87" s="82">
        <f t="shared" si="57"/>
        <v>273.38888888888903</v>
      </c>
      <c r="Q87" s="83">
        <f t="shared" si="49"/>
        <v>10.935555555555561</v>
      </c>
      <c r="R87" s="84">
        <f t="shared" si="58"/>
        <v>287.05833333333351</v>
      </c>
      <c r="S87" s="83">
        <f t="shared" si="50"/>
        <v>11.48233333333334</v>
      </c>
      <c r="T87" s="125">
        <v>176</v>
      </c>
      <c r="U87" s="85">
        <v>0</v>
      </c>
      <c r="V87" s="136">
        <f t="shared" si="44"/>
        <v>176</v>
      </c>
      <c r="W87" s="78">
        <f t="shared" si="51"/>
        <v>88</v>
      </c>
      <c r="X87" s="87">
        <f t="shared" si="52"/>
        <v>5.0285714285714285</v>
      </c>
      <c r="Y87" s="88">
        <f t="shared" si="53"/>
        <v>6.2857142857142856</v>
      </c>
      <c r="Z87" s="89">
        <f t="shared" si="54"/>
        <v>5.9355555555555615</v>
      </c>
      <c r="AA87" s="89">
        <f t="shared" si="55"/>
        <v>2.857142857142847E-2</v>
      </c>
      <c r="AB87" s="89">
        <f t="shared" si="45"/>
        <v>1.2857142857142856</v>
      </c>
      <c r="AC87" s="145">
        <v>5</v>
      </c>
      <c r="AD87" s="128" t="s">
        <v>38</v>
      </c>
      <c r="AE87" s="94" t="s">
        <v>38</v>
      </c>
      <c r="AF87" s="94" t="s">
        <v>38</v>
      </c>
      <c r="AG87" s="94" t="s">
        <v>38</v>
      </c>
      <c r="AH87" s="94" t="s">
        <v>38</v>
      </c>
      <c r="AI87" s="94" t="s">
        <v>38</v>
      </c>
      <c r="AJ87" s="147" t="s">
        <v>38</v>
      </c>
      <c r="AK87" s="147" t="s">
        <v>38</v>
      </c>
      <c r="AL87" s="147" t="s">
        <v>38</v>
      </c>
      <c r="AM87" s="147" t="s">
        <v>38</v>
      </c>
      <c r="AN87" s="147" t="s">
        <v>38</v>
      </c>
      <c r="AO87" s="146"/>
      <c r="AP87" s="63"/>
    </row>
    <row r="88" spans="1:42" ht="21.75" customHeight="1" x14ac:dyDescent="0.45">
      <c r="A88" s="344"/>
      <c r="B88" s="268" t="s">
        <v>261</v>
      </c>
      <c r="C88" s="158" t="s">
        <v>38</v>
      </c>
      <c r="D88" s="75" t="s">
        <v>38</v>
      </c>
      <c r="E88" s="75">
        <v>2</v>
      </c>
      <c r="F88" s="75">
        <v>1</v>
      </c>
      <c r="G88" s="76" t="s">
        <v>38</v>
      </c>
      <c r="H88" s="76" t="s">
        <v>38</v>
      </c>
      <c r="I88" s="76" t="s">
        <v>38</v>
      </c>
      <c r="J88" s="77">
        <v>4</v>
      </c>
      <c r="K88" s="78">
        <f t="shared" si="48"/>
        <v>7</v>
      </c>
      <c r="L88" s="79">
        <v>0</v>
      </c>
      <c r="M88" s="124">
        <f t="shared" si="56"/>
        <v>7</v>
      </c>
      <c r="N88" s="81">
        <v>194.19444444444446</v>
      </c>
      <c r="O88" s="81">
        <v>0</v>
      </c>
      <c r="P88" s="82">
        <f t="shared" si="57"/>
        <v>194.19444444444446</v>
      </c>
      <c r="Q88" s="83">
        <f t="shared" si="49"/>
        <v>7.7677777777777779</v>
      </c>
      <c r="R88" s="84">
        <f t="shared" si="58"/>
        <v>203.90416666666667</v>
      </c>
      <c r="S88" s="83">
        <f t="shared" si="50"/>
        <v>8.1561666666666675</v>
      </c>
      <c r="T88" s="125">
        <f>90+94</f>
        <v>184</v>
      </c>
      <c r="U88" s="85">
        <v>0</v>
      </c>
      <c r="V88" s="136">
        <f t="shared" si="44"/>
        <v>184</v>
      </c>
      <c r="W88" s="78">
        <f t="shared" si="51"/>
        <v>92</v>
      </c>
      <c r="X88" s="87">
        <f t="shared" si="52"/>
        <v>5.2571428571428571</v>
      </c>
      <c r="Y88" s="88">
        <f t="shared" si="53"/>
        <v>6.5714285714285712</v>
      </c>
      <c r="Z88" s="89">
        <f t="shared" si="54"/>
        <v>0.76777777777777789</v>
      </c>
      <c r="AA88" s="89">
        <f t="shared" si="55"/>
        <v>-1.7428571428571429</v>
      </c>
      <c r="AB88" s="89">
        <f t="shared" si="45"/>
        <v>-0.42857142857142883</v>
      </c>
      <c r="AC88" s="145">
        <v>5</v>
      </c>
      <c r="AD88" s="128" t="s">
        <v>38</v>
      </c>
      <c r="AE88" s="94" t="s">
        <v>38</v>
      </c>
      <c r="AF88" s="94" t="s">
        <v>38</v>
      </c>
      <c r="AG88" s="94" t="s">
        <v>38</v>
      </c>
      <c r="AH88" s="94" t="s">
        <v>38</v>
      </c>
      <c r="AI88" s="94" t="s">
        <v>38</v>
      </c>
      <c r="AJ88" s="147" t="s">
        <v>38</v>
      </c>
      <c r="AK88" s="147" t="s">
        <v>38</v>
      </c>
      <c r="AL88" s="147" t="s">
        <v>38</v>
      </c>
      <c r="AM88" s="147" t="s">
        <v>38</v>
      </c>
      <c r="AN88" s="147" t="s">
        <v>38</v>
      </c>
      <c r="AO88" s="146"/>
      <c r="AP88" s="63"/>
    </row>
    <row r="89" spans="1:42" ht="21.75" customHeight="1" x14ac:dyDescent="0.45">
      <c r="A89" s="345" t="s">
        <v>183</v>
      </c>
      <c r="B89" s="270" t="s">
        <v>184</v>
      </c>
      <c r="C89" s="158">
        <v>0</v>
      </c>
      <c r="D89" s="75">
        <v>0</v>
      </c>
      <c r="E89" s="75">
        <v>0</v>
      </c>
      <c r="F89" s="75">
        <v>0</v>
      </c>
      <c r="G89" s="76">
        <v>0</v>
      </c>
      <c r="H89" s="76">
        <v>0</v>
      </c>
      <c r="I89" s="76">
        <v>0</v>
      </c>
      <c r="J89" s="77">
        <v>0</v>
      </c>
      <c r="K89" s="78">
        <v>0</v>
      </c>
      <c r="L89" s="79">
        <v>0</v>
      </c>
      <c r="M89" s="124">
        <v>0</v>
      </c>
      <c r="N89" s="81">
        <v>40</v>
      </c>
      <c r="O89" s="81">
        <v>0</v>
      </c>
      <c r="P89" s="82">
        <f t="shared" si="57"/>
        <v>40</v>
      </c>
      <c r="Q89" s="83">
        <f t="shared" si="49"/>
        <v>1.6</v>
      </c>
      <c r="R89" s="84">
        <f t="shared" si="58"/>
        <v>42</v>
      </c>
      <c r="S89" s="83">
        <f t="shared" si="50"/>
        <v>1.68</v>
      </c>
      <c r="T89" s="125">
        <v>0</v>
      </c>
      <c r="U89" s="85">
        <v>0</v>
      </c>
      <c r="V89" s="136">
        <f t="shared" si="44"/>
        <v>0</v>
      </c>
      <c r="W89" s="78">
        <f t="shared" si="51"/>
        <v>0</v>
      </c>
      <c r="X89" s="87">
        <f t="shared" si="52"/>
        <v>0</v>
      </c>
      <c r="Y89" s="88">
        <f t="shared" si="53"/>
        <v>0</v>
      </c>
      <c r="Z89" s="89">
        <f t="shared" si="54"/>
        <v>1.6</v>
      </c>
      <c r="AA89" s="89">
        <f t="shared" si="55"/>
        <v>0</v>
      </c>
      <c r="AB89" s="89">
        <f t="shared" si="45"/>
        <v>0</v>
      </c>
      <c r="AC89" s="145">
        <v>5</v>
      </c>
      <c r="AD89" s="128" t="s">
        <v>38</v>
      </c>
      <c r="AE89" s="94"/>
      <c r="AF89" s="94"/>
      <c r="AG89" s="94"/>
      <c r="AH89" s="94"/>
      <c r="AI89" s="94"/>
      <c r="AJ89" s="147"/>
      <c r="AK89" s="147"/>
      <c r="AL89" s="147"/>
      <c r="AM89" s="147"/>
      <c r="AN89" s="147"/>
      <c r="AO89" s="146"/>
      <c r="AP89" s="63"/>
    </row>
    <row r="90" spans="1:42" ht="21.75" customHeight="1" x14ac:dyDescent="0.45">
      <c r="A90" s="346"/>
      <c r="B90" s="270" t="s">
        <v>185</v>
      </c>
      <c r="C90" s="158">
        <v>0</v>
      </c>
      <c r="D90" s="75">
        <v>0</v>
      </c>
      <c r="E90" s="75">
        <v>0</v>
      </c>
      <c r="F90" s="75">
        <v>0</v>
      </c>
      <c r="G90" s="76">
        <v>0</v>
      </c>
      <c r="H90" s="76">
        <v>0</v>
      </c>
      <c r="I90" s="76">
        <v>0</v>
      </c>
      <c r="J90" s="77">
        <v>0</v>
      </c>
      <c r="K90" s="78">
        <v>0</v>
      </c>
      <c r="L90" s="79">
        <v>0</v>
      </c>
      <c r="M90" s="124">
        <v>0</v>
      </c>
      <c r="N90" s="81">
        <v>40</v>
      </c>
      <c r="O90" s="81">
        <v>0</v>
      </c>
      <c r="P90" s="82">
        <f t="shared" si="57"/>
        <v>40</v>
      </c>
      <c r="Q90" s="83">
        <f t="shared" si="49"/>
        <v>1.6</v>
      </c>
      <c r="R90" s="84">
        <f t="shared" si="58"/>
        <v>42</v>
      </c>
      <c r="S90" s="83">
        <f t="shared" si="50"/>
        <v>1.68</v>
      </c>
      <c r="T90" s="125">
        <v>0</v>
      </c>
      <c r="U90" s="85">
        <v>0</v>
      </c>
      <c r="V90" s="136">
        <f t="shared" si="44"/>
        <v>0</v>
      </c>
      <c r="W90" s="78">
        <f t="shared" si="51"/>
        <v>0</v>
      </c>
      <c r="X90" s="87">
        <f t="shared" si="52"/>
        <v>0</v>
      </c>
      <c r="Y90" s="88">
        <f t="shared" si="53"/>
        <v>0</v>
      </c>
      <c r="Z90" s="89">
        <f t="shared" si="54"/>
        <v>1.6</v>
      </c>
      <c r="AA90" s="89">
        <f t="shared" si="55"/>
        <v>0</v>
      </c>
      <c r="AB90" s="89">
        <f t="shared" si="45"/>
        <v>0</v>
      </c>
      <c r="AC90" s="145">
        <v>5</v>
      </c>
      <c r="AD90" s="128" t="s">
        <v>38</v>
      </c>
      <c r="AE90" s="94"/>
      <c r="AF90" s="94"/>
      <c r="AG90" s="94"/>
      <c r="AH90" s="94"/>
      <c r="AI90" s="94"/>
      <c r="AJ90" s="147"/>
      <c r="AK90" s="147"/>
      <c r="AL90" s="147"/>
      <c r="AM90" s="147"/>
      <c r="AN90" s="147"/>
      <c r="AO90" s="146"/>
      <c r="AP90" s="63"/>
    </row>
    <row r="91" spans="1:42" s="18" customFormat="1" ht="21.75" customHeight="1" x14ac:dyDescent="0.55000000000000004">
      <c r="A91" s="183" t="s">
        <v>95</v>
      </c>
      <c r="B91" s="271"/>
      <c r="C91" s="149">
        <f t="shared" ref="C91:M91" si="59">SUM(C92:C100)</f>
        <v>0</v>
      </c>
      <c r="D91" s="149">
        <f t="shared" si="59"/>
        <v>0</v>
      </c>
      <c r="E91" s="149">
        <f t="shared" si="59"/>
        <v>5</v>
      </c>
      <c r="F91" s="149">
        <f t="shared" si="59"/>
        <v>6</v>
      </c>
      <c r="G91" s="149">
        <f t="shared" si="59"/>
        <v>0</v>
      </c>
      <c r="H91" s="149">
        <f t="shared" si="59"/>
        <v>0</v>
      </c>
      <c r="I91" s="149">
        <f t="shared" si="59"/>
        <v>16</v>
      </c>
      <c r="J91" s="149">
        <f t="shared" si="59"/>
        <v>32</v>
      </c>
      <c r="K91" s="150">
        <f t="shared" si="59"/>
        <v>59</v>
      </c>
      <c r="L91" s="150">
        <f t="shared" si="59"/>
        <v>4</v>
      </c>
      <c r="M91" s="150">
        <f t="shared" si="59"/>
        <v>55</v>
      </c>
      <c r="N91" s="184"/>
      <c r="O91" s="184"/>
      <c r="P91" s="184"/>
      <c r="Q91" s="153"/>
      <c r="R91" s="153">
        <f t="shared" si="58"/>
        <v>0</v>
      </c>
      <c r="S91" s="153"/>
      <c r="T91" s="153"/>
      <c r="U91" s="153"/>
      <c r="V91" s="153"/>
      <c r="W91" s="65">
        <f t="shared" si="51"/>
        <v>0</v>
      </c>
      <c r="X91" s="155">
        <f t="shared" si="52"/>
        <v>0</v>
      </c>
      <c r="Y91" s="155">
        <f t="shared" si="53"/>
        <v>0</v>
      </c>
      <c r="Z91" s="70">
        <f t="shared" si="54"/>
        <v>-55</v>
      </c>
      <c r="AA91" s="70">
        <f t="shared" si="55"/>
        <v>-55</v>
      </c>
      <c r="AB91" s="70">
        <f t="shared" si="45"/>
        <v>-55</v>
      </c>
      <c r="AC91" s="122"/>
      <c r="AD91" s="65">
        <v>0</v>
      </c>
      <c r="AE91" s="150">
        <f>SUM(AE92:AE100)</f>
        <v>0</v>
      </c>
      <c r="AF91" s="150">
        <f>SUM(AF92:AF100)</f>
        <v>0</v>
      </c>
      <c r="AG91" s="150">
        <f>SUM(AG92:AG100)</f>
        <v>0</v>
      </c>
      <c r="AH91" s="150">
        <f>SUM(AH92:AH100)</f>
        <v>0</v>
      </c>
      <c r="AI91" s="150">
        <f>SUM(AI92:AI100)</f>
        <v>0</v>
      </c>
      <c r="AJ91" s="155">
        <v>0</v>
      </c>
      <c r="AK91" s="155">
        <v>0</v>
      </c>
      <c r="AL91" s="155">
        <v>0</v>
      </c>
      <c r="AM91" s="155">
        <v>0</v>
      </c>
      <c r="AN91" s="155">
        <v>0</v>
      </c>
      <c r="AO91" s="156"/>
      <c r="AP91" s="72"/>
    </row>
    <row r="92" spans="1:42" ht="21.75" customHeight="1" x14ac:dyDescent="0.55000000000000004">
      <c r="A92" s="177" t="s">
        <v>96</v>
      </c>
      <c r="B92" s="268" t="s">
        <v>34</v>
      </c>
      <c r="C92" s="158" t="s">
        <v>38</v>
      </c>
      <c r="D92" s="75" t="s">
        <v>38</v>
      </c>
      <c r="E92" s="75" t="s">
        <v>38</v>
      </c>
      <c r="F92" s="75">
        <v>3</v>
      </c>
      <c r="G92" s="76" t="s">
        <v>38</v>
      </c>
      <c r="H92" s="76" t="s">
        <v>38</v>
      </c>
      <c r="I92" s="76">
        <v>2</v>
      </c>
      <c r="J92" s="77">
        <v>3</v>
      </c>
      <c r="K92" s="78">
        <f t="shared" ref="K92:K100" si="60">SUM(C92:J92)</f>
        <v>8</v>
      </c>
      <c r="L92" s="79">
        <v>3</v>
      </c>
      <c r="M92" s="124">
        <f t="shared" ref="M92:M100" si="61">K92-L92</f>
        <v>5</v>
      </c>
      <c r="N92" s="81">
        <v>7.83</v>
      </c>
      <c r="O92" s="81">
        <v>0</v>
      </c>
      <c r="P92" s="82">
        <f>SUM(N92:O92)</f>
        <v>7.83</v>
      </c>
      <c r="Q92" s="83">
        <f>P92/20</f>
        <v>0.39150000000000001</v>
      </c>
      <c r="R92" s="84">
        <f t="shared" si="58"/>
        <v>8.2215000000000007</v>
      </c>
      <c r="S92" s="83">
        <f>R92/20</f>
        <v>0.41107500000000002</v>
      </c>
      <c r="T92" s="125">
        <v>187</v>
      </c>
      <c r="U92" s="85">
        <v>0</v>
      </c>
      <c r="V92" s="85">
        <f t="shared" ref="V92:V100" si="62">SUM(T92:U92)</f>
        <v>187</v>
      </c>
      <c r="W92" s="78">
        <f t="shared" si="51"/>
        <v>93.5</v>
      </c>
      <c r="X92" s="87">
        <f t="shared" si="52"/>
        <v>5.3428571428571425</v>
      </c>
      <c r="Y92" s="88">
        <f t="shared" si="53"/>
        <v>6.6785714285714288</v>
      </c>
      <c r="Z92" s="89">
        <f t="shared" si="54"/>
        <v>-4.6085000000000003</v>
      </c>
      <c r="AA92" s="89">
        <f t="shared" si="55"/>
        <v>0.34285714285714253</v>
      </c>
      <c r="AB92" s="89">
        <f t="shared" si="45"/>
        <v>1.6785714285714288</v>
      </c>
      <c r="AC92" s="145">
        <v>5</v>
      </c>
      <c r="AD92" s="128" t="s">
        <v>38</v>
      </c>
      <c r="AE92" s="94" t="s">
        <v>38</v>
      </c>
      <c r="AF92" s="94" t="s">
        <v>38</v>
      </c>
      <c r="AG92" s="94" t="s">
        <v>38</v>
      </c>
      <c r="AH92" s="94" t="s">
        <v>38</v>
      </c>
      <c r="AI92" s="94" t="s">
        <v>38</v>
      </c>
      <c r="AJ92" s="147" t="s">
        <v>38</v>
      </c>
      <c r="AK92" s="147" t="s">
        <v>38</v>
      </c>
      <c r="AL92" s="147" t="s">
        <v>38</v>
      </c>
      <c r="AM92" s="147" t="s">
        <v>38</v>
      </c>
      <c r="AN92" s="147" t="s">
        <v>38</v>
      </c>
      <c r="AO92" s="146"/>
      <c r="AP92" s="63"/>
    </row>
    <row r="93" spans="1:42" ht="21.75" customHeight="1" x14ac:dyDescent="0.55000000000000004">
      <c r="A93" s="177" t="s">
        <v>97</v>
      </c>
      <c r="B93" s="268" t="s">
        <v>35</v>
      </c>
      <c r="C93" s="158" t="s">
        <v>38</v>
      </c>
      <c r="D93" s="75" t="s">
        <v>38</v>
      </c>
      <c r="E93" s="75" t="s">
        <v>38</v>
      </c>
      <c r="F93" s="75" t="s">
        <v>38</v>
      </c>
      <c r="G93" s="76" t="s">
        <v>38</v>
      </c>
      <c r="H93" s="76" t="s">
        <v>38</v>
      </c>
      <c r="I93" s="76">
        <v>4</v>
      </c>
      <c r="J93" s="77">
        <v>1</v>
      </c>
      <c r="K93" s="78">
        <f t="shared" si="60"/>
        <v>5</v>
      </c>
      <c r="L93" s="79">
        <v>0</v>
      </c>
      <c r="M93" s="124">
        <f t="shared" si="61"/>
        <v>5</v>
      </c>
      <c r="O93" s="81">
        <v>0</v>
      </c>
      <c r="P93" s="82">
        <f>SUM(O93:O93)</f>
        <v>0</v>
      </c>
      <c r="Q93" s="83">
        <f>P93/20</f>
        <v>0</v>
      </c>
      <c r="R93" s="84">
        <f t="shared" si="58"/>
        <v>0</v>
      </c>
      <c r="S93" s="83">
        <f>R93/20</f>
        <v>0</v>
      </c>
      <c r="T93" s="125">
        <v>184</v>
      </c>
      <c r="U93" s="85">
        <v>0</v>
      </c>
      <c r="V93" s="85">
        <f t="shared" si="62"/>
        <v>184</v>
      </c>
      <c r="W93" s="78">
        <f t="shared" si="51"/>
        <v>92</v>
      </c>
      <c r="X93" s="87">
        <f t="shared" si="52"/>
        <v>5.2571428571428571</v>
      </c>
      <c r="Y93" s="88">
        <f t="shared" si="53"/>
        <v>6.5714285714285712</v>
      </c>
      <c r="Z93" s="89">
        <f t="shared" si="54"/>
        <v>-5</v>
      </c>
      <c r="AA93" s="89">
        <f t="shared" si="55"/>
        <v>0.25714285714285712</v>
      </c>
      <c r="AB93" s="89">
        <f t="shared" si="45"/>
        <v>1.5714285714285712</v>
      </c>
      <c r="AC93" s="145">
        <v>5</v>
      </c>
      <c r="AD93" s="128" t="s">
        <v>38</v>
      </c>
      <c r="AE93" s="94" t="s">
        <v>38</v>
      </c>
      <c r="AF93" s="94" t="s">
        <v>38</v>
      </c>
      <c r="AG93" s="94" t="s">
        <v>38</v>
      </c>
      <c r="AH93" s="94" t="s">
        <v>38</v>
      </c>
      <c r="AI93" s="94" t="s">
        <v>38</v>
      </c>
      <c r="AJ93" s="147" t="s">
        <v>38</v>
      </c>
      <c r="AK93" s="147" t="s">
        <v>38</v>
      </c>
      <c r="AL93" s="147" t="s">
        <v>38</v>
      </c>
      <c r="AM93" s="147" t="s">
        <v>38</v>
      </c>
      <c r="AN93" s="147" t="s">
        <v>38</v>
      </c>
      <c r="AO93" s="146"/>
      <c r="AP93" s="63"/>
    </row>
    <row r="94" spans="1:42" ht="21.75" customHeight="1" x14ac:dyDescent="0.2">
      <c r="A94" s="127" t="s">
        <v>98</v>
      </c>
      <c r="B94" s="272" t="s">
        <v>36</v>
      </c>
      <c r="C94" s="158" t="s">
        <v>38</v>
      </c>
      <c r="D94" s="75" t="s">
        <v>38</v>
      </c>
      <c r="E94" s="75">
        <v>1</v>
      </c>
      <c r="F94" s="75" t="s">
        <v>38</v>
      </c>
      <c r="G94" s="76" t="s">
        <v>38</v>
      </c>
      <c r="H94" s="76" t="s">
        <v>38</v>
      </c>
      <c r="I94" s="76">
        <v>5</v>
      </c>
      <c r="J94" s="77">
        <v>5</v>
      </c>
      <c r="K94" s="78">
        <f t="shared" si="60"/>
        <v>11</v>
      </c>
      <c r="L94" s="79">
        <v>0</v>
      </c>
      <c r="M94" s="124">
        <f t="shared" si="61"/>
        <v>11</v>
      </c>
      <c r="N94" s="98">
        <v>43.055555555555557</v>
      </c>
      <c r="O94" s="98">
        <v>0</v>
      </c>
      <c r="P94" s="82">
        <f t="shared" ref="P94:P100" si="63">SUM(N94:O94)</f>
        <v>43.055555555555557</v>
      </c>
      <c r="Q94" s="83">
        <f>P94/8</f>
        <v>5.3819444444444446</v>
      </c>
      <c r="R94" s="84">
        <f t="shared" si="58"/>
        <v>45.208333333333336</v>
      </c>
      <c r="S94" s="83">
        <f>R94/8</f>
        <v>5.651041666666667</v>
      </c>
      <c r="T94" s="125">
        <v>326</v>
      </c>
      <c r="U94" s="85">
        <v>0</v>
      </c>
      <c r="V94" s="85">
        <f t="shared" si="62"/>
        <v>326</v>
      </c>
      <c r="W94" s="78">
        <f t="shared" si="51"/>
        <v>163</v>
      </c>
      <c r="X94" s="87">
        <f t="shared" si="52"/>
        <v>9.3142857142857149</v>
      </c>
      <c r="Y94" s="88">
        <f t="shared" si="53"/>
        <v>11.642857142857142</v>
      </c>
      <c r="Z94" s="89">
        <f t="shared" si="54"/>
        <v>-5.6180555555555554</v>
      </c>
      <c r="AA94" s="89">
        <f t="shared" si="55"/>
        <v>-1.6857142857142851</v>
      </c>
      <c r="AB94" s="89">
        <f t="shared" si="45"/>
        <v>0.64285714285714235</v>
      </c>
      <c r="AC94" s="145">
        <v>5</v>
      </c>
      <c r="AD94" s="128" t="s">
        <v>38</v>
      </c>
      <c r="AE94" s="94" t="s">
        <v>38</v>
      </c>
      <c r="AF94" s="94" t="s">
        <v>38</v>
      </c>
      <c r="AG94" s="94" t="s">
        <v>38</v>
      </c>
      <c r="AH94" s="94" t="s">
        <v>38</v>
      </c>
      <c r="AI94" s="94" t="s">
        <v>38</v>
      </c>
      <c r="AJ94" s="147" t="s">
        <v>38</v>
      </c>
      <c r="AK94" s="147" t="s">
        <v>38</v>
      </c>
      <c r="AL94" s="147" t="s">
        <v>38</v>
      </c>
      <c r="AM94" s="147" t="s">
        <v>38</v>
      </c>
      <c r="AN94" s="147" t="s">
        <v>38</v>
      </c>
      <c r="AO94" s="146"/>
      <c r="AP94" s="63"/>
    </row>
    <row r="95" spans="1:42" ht="21.75" customHeight="1" x14ac:dyDescent="0.2">
      <c r="A95" s="185" t="s">
        <v>99</v>
      </c>
      <c r="B95" s="272" t="s">
        <v>35</v>
      </c>
      <c r="C95" s="158" t="s">
        <v>38</v>
      </c>
      <c r="D95" s="75" t="s">
        <v>38</v>
      </c>
      <c r="E95" s="75">
        <v>1</v>
      </c>
      <c r="F95" s="75" t="s">
        <v>38</v>
      </c>
      <c r="G95" s="76" t="s">
        <v>38</v>
      </c>
      <c r="H95" s="76" t="s">
        <v>38</v>
      </c>
      <c r="I95" s="76" t="s">
        <v>38</v>
      </c>
      <c r="J95" s="77">
        <v>5</v>
      </c>
      <c r="K95" s="78">
        <f t="shared" si="60"/>
        <v>6</v>
      </c>
      <c r="L95" s="79">
        <v>0</v>
      </c>
      <c r="M95" s="124">
        <f t="shared" si="61"/>
        <v>6</v>
      </c>
      <c r="N95" s="98">
        <v>17.138888888888889</v>
      </c>
      <c r="O95" s="98">
        <v>0</v>
      </c>
      <c r="P95" s="82">
        <f t="shared" si="63"/>
        <v>17.138888888888889</v>
      </c>
      <c r="Q95" s="83">
        <f t="shared" ref="Q95:Q100" si="64">P95/20</f>
        <v>0.85694444444444451</v>
      </c>
      <c r="R95" s="84">
        <f t="shared" si="58"/>
        <v>17.995833333333334</v>
      </c>
      <c r="S95" s="83">
        <f t="shared" ref="S95:S100" si="65">R95/20</f>
        <v>0.89979166666666666</v>
      </c>
      <c r="T95" s="125">
        <v>114</v>
      </c>
      <c r="U95" s="85">
        <v>0</v>
      </c>
      <c r="V95" s="85">
        <f t="shared" si="62"/>
        <v>114</v>
      </c>
      <c r="W95" s="78">
        <f t="shared" si="51"/>
        <v>57</v>
      </c>
      <c r="X95" s="87">
        <f t="shared" si="52"/>
        <v>3.2571428571428571</v>
      </c>
      <c r="Y95" s="88">
        <f t="shared" si="53"/>
        <v>4.0714285714285712</v>
      </c>
      <c r="Z95" s="89">
        <f t="shared" si="54"/>
        <v>-5.1430555555555557</v>
      </c>
      <c r="AA95" s="89">
        <f t="shared" si="55"/>
        <v>-2.7428571428571429</v>
      </c>
      <c r="AB95" s="89">
        <f t="shared" si="45"/>
        <v>-1.9285714285714288</v>
      </c>
      <c r="AC95" s="145">
        <v>5</v>
      </c>
      <c r="AD95" s="128" t="s">
        <v>38</v>
      </c>
      <c r="AE95" s="94" t="s">
        <v>38</v>
      </c>
      <c r="AF95" s="94" t="s">
        <v>38</v>
      </c>
      <c r="AG95" s="94" t="s">
        <v>38</v>
      </c>
      <c r="AH95" s="94" t="s">
        <v>38</v>
      </c>
      <c r="AI95" s="94" t="s">
        <v>38</v>
      </c>
      <c r="AJ95" s="147" t="s">
        <v>38</v>
      </c>
      <c r="AK95" s="147" t="s">
        <v>38</v>
      </c>
      <c r="AL95" s="147" t="s">
        <v>38</v>
      </c>
      <c r="AM95" s="147" t="s">
        <v>38</v>
      </c>
      <c r="AN95" s="147" t="s">
        <v>38</v>
      </c>
      <c r="AO95" s="146"/>
      <c r="AP95" s="63"/>
    </row>
    <row r="96" spans="1:42" ht="21.75" customHeight="1" x14ac:dyDescent="0.2">
      <c r="A96" s="185" t="s">
        <v>100</v>
      </c>
      <c r="B96" s="272" t="s">
        <v>124</v>
      </c>
      <c r="C96" s="158" t="s">
        <v>38</v>
      </c>
      <c r="D96" s="158" t="s">
        <v>38</v>
      </c>
      <c r="E96" s="158" t="s">
        <v>38</v>
      </c>
      <c r="F96" s="158" t="s">
        <v>38</v>
      </c>
      <c r="G96" s="76" t="s">
        <v>38</v>
      </c>
      <c r="H96" s="76" t="s">
        <v>38</v>
      </c>
      <c r="I96" s="76">
        <v>3</v>
      </c>
      <c r="J96" s="77">
        <v>3</v>
      </c>
      <c r="K96" s="78">
        <f t="shared" si="60"/>
        <v>6</v>
      </c>
      <c r="L96" s="79">
        <v>1</v>
      </c>
      <c r="M96" s="124">
        <f t="shared" si="61"/>
        <v>5</v>
      </c>
      <c r="N96" s="98">
        <f>0.89+36.64</f>
        <v>37.53</v>
      </c>
      <c r="O96" s="98">
        <v>0</v>
      </c>
      <c r="P96" s="82">
        <f t="shared" si="63"/>
        <v>37.53</v>
      </c>
      <c r="Q96" s="83">
        <f t="shared" si="64"/>
        <v>1.8765000000000001</v>
      </c>
      <c r="R96" s="84">
        <f t="shared" si="58"/>
        <v>39.406500000000001</v>
      </c>
      <c r="S96" s="83">
        <f t="shared" si="65"/>
        <v>1.9703250000000001</v>
      </c>
      <c r="T96" s="186">
        <v>112</v>
      </c>
      <c r="U96" s="85">
        <v>0</v>
      </c>
      <c r="V96" s="85">
        <f t="shared" si="62"/>
        <v>112</v>
      </c>
      <c r="W96" s="78">
        <f t="shared" si="51"/>
        <v>56</v>
      </c>
      <c r="X96" s="87">
        <f t="shared" si="52"/>
        <v>3.2</v>
      </c>
      <c r="Y96" s="88">
        <f t="shared" si="53"/>
        <v>4</v>
      </c>
      <c r="Z96" s="89">
        <f t="shared" si="54"/>
        <v>-3.1234999999999999</v>
      </c>
      <c r="AA96" s="89">
        <f t="shared" si="55"/>
        <v>-1.7999999999999998</v>
      </c>
      <c r="AB96" s="89">
        <f t="shared" si="45"/>
        <v>-1</v>
      </c>
      <c r="AC96" s="145">
        <v>5</v>
      </c>
      <c r="AD96" s="128" t="s">
        <v>38</v>
      </c>
      <c r="AE96" s="94" t="s">
        <v>38</v>
      </c>
      <c r="AF96" s="94" t="s">
        <v>38</v>
      </c>
      <c r="AG96" s="94" t="s">
        <v>38</v>
      </c>
      <c r="AH96" s="94" t="s">
        <v>38</v>
      </c>
      <c r="AI96" s="94" t="s">
        <v>38</v>
      </c>
      <c r="AJ96" s="147" t="s">
        <v>38</v>
      </c>
      <c r="AK96" s="147" t="s">
        <v>38</v>
      </c>
      <c r="AL96" s="147" t="s">
        <v>38</v>
      </c>
      <c r="AM96" s="147" t="s">
        <v>38</v>
      </c>
      <c r="AN96" s="147" t="s">
        <v>38</v>
      </c>
      <c r="AO96" s="146"/>
      <c r="AP96" s="63"/>
    </row>
    <row r="97" spans="1:42" ht="21.75" customHeight="1" x14ac:dyDescent="0.2">
      <c r="A97" s="127" t="s">
        <v>101</v>
      </c>
      <c r="B97" s="272" t="s">
        <v>35</v>
      </c>
      <c r="C97" s="158" t="s">
        <v>38</v>
      </c>
      <c r="D97" s="75" t="s">
        <v>38</v>
      </c>
      <c r="E97" s="75">
        <v>2</v>
      </c>
      <c r="F97" s="75" t="s">
        <v>38</v>
      </c>
      <c r="G97" s="76" t="s">
        <v>38</v>
      </c>
      <c r="H97" s="76" t="s">
        <v>38</v>
      </c>
      <c r="I97" s="76" t="s">
        <v>38</v>
      </c>
      <c r="J97" s="77">
        <v>3</v>
      </c>
      <c r="K97" s="78">
        <f t="shared" si="60"/>
        <v>5</v>
      </c>
      <c r="L97" s="79">
        <v>0</v>
      </c>
      <c r="M97" s="124">
        <f t="shared" si="61"/>
        <v>5</v>
      </c>
      <c r="N97" s="98">
        <v>30.8888888888889</v>
      </c>
      <c r="O97" s="98">
        <v>0</v>
      </c>
      <c r="P97" s="82">
        <f t="shared" si="63"/>
        <v>30.8888888888889</v>
      </c>
      <c r="Q97" s="83">
        <f t="shared" si="64"/>
        <v>1.544444444444445</v>
      </c>
      <c r="R97" s="84">
        <f>(P97*0.05)+P97</f>
        <v>32.433333333333344</v>
      </c>
      <c r="S97" s="83">
        <f t="shared" si="65"/>
        <v>1.6216666666666673</v>
      </c>
      <c r="T97" s="125">
        <v>202</v>
      </c>
      <c r="U97" s="85">
        <v>0</v>
      </c>
      <c r="V97" s="85">
        <f t="shared" si="62"/>
        <v>202</v>
      </c>
      <c r="W97" s="78">
        <f t="shared" si="51"/>
        <v>101</v>
      </c>
      <c r="X97" s="87">
        <f t="shared" si="52"/>
        <v>5.7714285714285714</v>
      </c>
      <c r="Y97" s="88">
        <f t="shared" si="53"/>
        <v>7.2142857142857144</v>
      </c>
      <c r="Z97" s="89">
        <f t="shared" si="54"/>
        <v>-3.4555555555555548</v>
      </c>
      <c r="AA97" s="89">
        <f t="shared" si="55"/>
        <v>0.77142857142857135</v>
      </c>
      <c r="AB97" s="89">
        <f t="shared" si="45"/>
        <v>2.2142857142857144</v>
      </c>
      <c r="AC97" s="145">
        <v>5</v>
      </c>
      <c r="AD97" s="128" t="s">
        <v>38</v>
      </c>
      <c r="AE97" s="94" t="s">
        <v>38</v>
      </c>
      <c r="AF97" s="94" t="s">
        <v>38</v>
      </c>
      <c r="AG97" s="94" t="s">
        <v>38</v>
      </c>
      <c r="AH97" s="94" t="s">
        <v>38</v>
      </c>
      <c r="AI97" s="94" t="s">
        <v>38</v>
      </c>
      <c r="AJ97" s="147" t="s">
        <v>38</v>
      </c>
      <c r="AK97" s="147" t="s">
        <v>38</v>
      </c>
      <c r="AL97" s="147" t="s">
        <v>38</v>
      </c>
      <c r="AM97" s="147" t="s">
        <v>38</v>
      </c>
      <c r="AN97" s="147" t="s">
        <v>38</v>
      </c>
      <c r="AO97" s="146"/>
      <c r="AP97" s="63"/>
    </row>
    <row r="98" spans="1:42" ht="21.75" customHeight="1" x14ac:dyDescent="0.2">
      <c r="A98" s="127" t="s">
        <v>102</v>
      </c>
      <c r="B98" s="272" t="s">
        <v>37</v>
      </c>
      <c r="C98" s="158" t="s">
        <v>38</v>
      </c>
      <c r="D98" s="75" t="s">
        <v>38</v>
      </c>
      <c r="E98" s="75">
        <v>1</v>
      </c>
      <c r="F98" s="75">
        <v>2</v>
      </c>
      <c r="G98" s="76" t="s">
        <v>38</v>
      </c>
      <c r="H98" s="76" t="s">
        <v>38</v>
      </c>
      <c r="I98" s="76">
        <v>1</v>
      </c>
      <c r="J98" s="77">
        <v>3</v>
      </c>
      <c r="K98" s="78">
        <f t="shared" si="60"/>
        <v>7</v>
      </c>
      <c r="L98" s="79">
        <v>0</v>
      </c>
      <c r="M98" s="124">
        <f t="shared" si="61"/>
        <v>7</v>
      </c>
      <c r="N98" s="98">
        <v>59.277777777777779</v>
      </c>
      <c r="O98" s="98">
        <v>0</v>
      </c>
      <c r="P98" s="82">
        <f t="shared" si="63"/>
        <v>59.277777777777779</v>
      </c>
      <c r="Q98" s="83">
        <f t="shared" si="64"/>
        <v>2.963888888888889</v>
      </c>
      <c r="R98" s="84">
        <f t="shared" si="58"/>
        <v>62.241666666666667</v>
      </c>
      <c r="S98" s="83">
        <f t="shared" si="65"/>
        <v>3.1120833333333335</v>
      </c>
      <c r="T98" s="125">
        <v>262</v>
      </c>
      <c r="U98" s="85">
        <v>0</v>
      </c>
      <c r="V98" s="85">
        <f t="shared" si="62"/>
        <v>262</v>
      </c>
      <c r="W98" s="78">
        <f t="shared" si="51"/>
        <v>131</v>
      </c>
      <c r="X98" s="87">
        <f t="shared" si="52"/>
        <v>7.4857142857142858</v>
      </c>
      <c r="Y98" s="88">
        <f t="shared" si="53"/>
        <v>9.3571428571428577</v>
      </c>
      <c r="Z98" s="89">
        <f t="shared" si="54"/>
        <v>-4.0361111111111114</v>
      </c>
      <c r="AA98" s="89">
        <f t="shared" si="55"/>
        <v>0.48571428571428577</v>
      </c>
      <c r="AB98" s="89">
        <f t="shared" si="45"/>
        <v>2.3571428571428577</v>
      </c>
      <c r="AC98" s="145">
        <v>5</v>
      </c>
      <c r="AD98" s="128" t="s">
        <v>38</v>
      </c>
      <c r="AE98" s="94" t="s">
        <v>38</v>
      </c>
      <c r="AF98" s="94" t="s">
        <v>38</v>
      </c>
      <c r="AG98" s="94" t="s">
        <v>38</v>
      </c>
      <c r="AH98" s="94" t="s">
        <v>38</v>
      </c>
      <c r="AI98" s="94" t="s">
        <v>38</v>
      </c>
      <c r="AJ98" s="147" t="s">
        <v>38</v>
      </c>
      <c r="AK98" s="147" t="s">
        <v>38</v>
      </c>
      <c r="AL98" s="147" t="s">
        <v>38</v>
      </c>
      <c r="AM98" s="147" t="s">
        <v>38</v>
      </c>
      <c r="AN98" s="147" t="s">
        <v>38</v>
      </c>
      <c r="AO98" s="146"/>
      <c r="AP98" s="63"/>
    </row>
    <row r="99" spans="1:42" ht="21.75" customHeight="1" x14ac:dyDescent="0.2">
      <c r="A99" s="127" t="s">
        <v>103</v>
      </c>
      <c r="B99" s="272" t="s">
        <v>34</v>
      </c>
      <c r="C99" s="158" t="s">
        <v>38</v>
      </c>
      <c r="D99" s="75" t="s">
        <v>38</v>
      </c>
      <c r="E99" s="75" t="s">
        <v>38</v>
      </c>
      <c r="F99" s="75">
        <v>1</v>
      </c>
      <c r="G99" s="76" t="s">
        <v>38</v>
      </c>
      <c r="H99" s="76" t="s">
        <v>38</v>
      </c>
      <c r="I99" s="76" t="s">
        <v>38</v>
      </c>
      <c r="J99" s="77">
        <v>5</v>
      </c>
      <c r="K99" s="78">
        <f t="shared" si="60"/>
        <v>6</v>
      </c>
      <c r="L99" s="79">
        <v>0</v>
      </c>
      <c r="M99" s="124">
        <f t="shared" si="61"/>
        <v>6</v>
      </c>
      <c r="N99" s="81">
        <v>125.03</v>
      </c>
      <c r="O99" s="81">
        <v>0</v>
      </c>
      <c r="P99" s="82">
        <f t="shared" si="63"/>
        <v>125.03</v>
      </c>
      <c r="Q99" s="83">
        <f t="shared" si="64"/>
        <v>6.2515000000000001</v>
      </c>
      <c r="R99" s="84">
        <f t="shared" si="58"/>
        <v>131.28149999999999</v>
      </c>
      <c r="S99" s="83">
        <f t="shared" si="65"/>
        <v>6.5640749999999999</v>
      </c>
      <c r="T99" s="125">
        <v>166</v>
      </c>
      <c r="U99" s="85">
        <v>0</v>
      </c>
      <c r="V99" s="85">
        <f t="shared" si="62"/>
        <v>166</v>
      </c>
      <c r="W99" s="78">
        <f t="shared" si="51"/>
        <v>83</v>
      </c>
      <c r="X99" s="87">
        <f t="shared" si="52"/>
        <v>4.7428571428571429</v>
      </c>
      <c r="Y99" s="88">
        <f t="shared" si="53"/>
        <v>5.9285714285714288</v>
      </c>
      <c r="Z99" s="89">
        <f t="shared" si="54"/>
        <v>0.25150000000000006</v>
      </c>
      <c r="AA99" s="89">
        <f t="shared" si="55"/>
        <v>-1.2571428571428571</v>
      </c>
      <c r="AB99" s="89">
        <f t="shared" si="45"/>
        <v>-7.1428571428571175E-2</v>
      </c>
      <c r="AC99" s="145">
        <v>5</v>
      </c>
      <c r="AD99" s="128" t="s">
        <v>38</v>
      </c>
      <c r="AE99" s="94" t="s">
        <v>38</v>
      </c>
      <c r="AF99" s="94" t="s">
        <v>38</v>
      </c>
      <c r="AG99" s="94" t="s">
        <v>38</v>
      </c>
      <c r="AH99" s="94" t="s">
        <v>38</v>
      </c>
      <c r="AI99" s="94" t="s">
        <v>38</v>
      </c>
      <c r="AJ99" s="147" t="s">
        <v>38</v>
      </c>
      <c r="AK99" s="147" t="s">
        <v>38</v>
      </c>
      <c r="AL99" s="147" t="s">
        <v>38</v>
      </c>
      <c r="AM99" s="147" t="s">
        <v>38</v>
      </c>
      <c r="AN99" s="147" t="s">
        <v>38</v>
      </c>
      <c r="AO99" s="146"/>
      <c r="AP99" s="63"/>
    </row>
    <row r="100" spans="1:42" ht="21.75" customHeight="1" x14ac:dyDescent="0.2">
      <c r="A100" s="127" t="s">
        <v>104</v>
      </c>
      <c r="B100" s="272" t="s">
        <v>34</v>
      </c>
      <c r="C100" s="158" t="s">
        <v>38</v>
      </c>
      <c r="D100" s="75" t="s">
        <v>38</v>
      </c>
      <c r="E100" s="75" t="s">
        <v>38</v>
      </c>
      <c r="F100" s="75" t="s">
        <v>38</v>
      </c>
      <c r="G100" s="76" t="s">
        <v>38</v>
      </c>
      <c r="H100" s="76" t="s">
        <v>38</v>
      </c>
      <c r="I100" s="76">
        <v>1</v>
      </c>
      <c r="J100" s="77">
        <v>4</v>
      </c>
      <c r="K100" s="78">
        <f t="shared" si="60"/>
        <v>5</v>
      </c>
      <c r="L100" s="79">
        <v>0</v>
      </c>
      <c r="M100" s="124">
        <f t="shared" si="61"/>
        <v>5</v>
      </c>
      <c r="N100" s="81">
        <v>23.86</v>
      </c>
      <c r="O100" s="81">
        <v>0</v>
      </c>
      <c r="P100" s="82">
        <f t="shared" si="63"/>
        <v>23.86</v>
      </c>
      <c r="Q100" s="83">
        <f t="shared" si="64"/>
        <v>1.1930000000000001</v>
      </c>
      <c r="R100" s="84">
        <f t="shared" si="58"/>
        <v>25.053000000000001</v>
      </c>
      <c r="S100" s="83">
        <f t="shared" si="65"/>
        <v>1.25265</v>
      </c>
      <c r="T100" s="125">
        <v>73</v>
      </c>
      <c r="U100" s="85">
        <v>0</v>
      </c>
      <c r="V100" s="85">
        <f t="shared" si="62"/>
        <v>73</v>
      </c>
      <c r="W100" s="78">
        <f t="shared" si="51"/>
        <v>36.5</v>
      </c>
      <c r="X100" s="87">
        <f t="shared" si="52"/>
        <v>2.0857142857142859</v>
      </c>
      <c r="Y100" s="88">
        <f t="shared" si="53"/>
        <v>2.6071428571428572</v>
      </c>
      <c r="Z100" s="89">
        <f t="shared" si="54"/>
        <v>-3.8069999999999999</v>
      </c>
      <c r="AA100" s="89">
        <f t="shared" si="55"/>
        <v>-2.9142857142857141</v>
      </c>
      <c r="AB100" s="89">
        <f t="shared" si="45"/>
        <v>-2.3928571428571428</v>
      </c>
      <c r="AC100" s="145">
        <v>5</v>
      </c>
      <c r="AD100" s="128" t="s">
        <v>38</v>
      </c>
      <c r="AE100" s="94" t="s">
        <v>38</v>
      </c>
      <c r="AF100" s="94" t="s">
        <v>38</v>
      </c>
      <c r="AG100" s="94" t="s">
        <v>38</v>
      </c>
      <c r="AH100" s="94" t="s">
        <v>38</v>
      </c>
      <c r="AI100" s="94" t="s">
        <v>38</v>
      </c>
      <c r="AJ100" s="147" t="s">
        <v>38</v>
      </c>
      <c r="AK100" s="147" t="s">
        <v>38</v>
      </c>
      <c r="AL100" s="147" t="s">
        <v>38</v>
      </c>
      <c r="AM100" s="147" t="s">
        <v>38</v>
      </c>
      <c r="AN100" s="147" t="s">
        <v>38</v>
      </c>
      <c r="AO100" s="146"/>
      <c r="AP100" s="63"/>
    </row>
    <row r="101" spans="1:42" s="9" customFormat="1" ht="21.95" customHeight="1" x14ac:dyDescent="0.2">
      <c r="A101" s="64" t="s">
        <v>105</v>
      </c>
      <c r="B101" s="265"/>
      <c r="C101" s="122">
        <f t="shared" ref="C101:J101" si="66">SUM(C103:C106)</f>
        <v>0</v>
      </c>
      <c r="D101" s="122">
        <f t="shared" si="66"/>
        <v>2</v>
      </c>
      <c r="E101" s="122">
        <f t="shared" si="66"/>
        <v>1</v>
      </c>
      <c r="F101" s="122">
        <f t="shared" si="66"/>
        <v>0</v>
      </c>
      <c r="G101" s="122">
        <f t="shared" si="66"/>
        <v>0</v>
      </c>
      <c r="H101" s="122">
        <f t="shared" si="66"/>
        <v>0</v>
      </c>
      <c r="I101" s="122">
        <f t="shared" si="66"/>
        <v>4</v>
      </c>
      <c r="J101" s="122">
        <f t="shared" si="66"/>
        <v>16</v>
      </c>
      <c r="K101" s="65">
        <f>SUM(K102:K106)</f>
        <v>23</v>
      </c>
      <c r="L101" s="65">
        <f>SUM(L102:L106)</f>
        <v>3</v>
      </c>
      <c r="M101" s="66">
        <f>SUM(M102:M106)</f>
        <v>20</v>
      </c>
      <c r="N101" s="67">
        <f>SUM(N103:N106)</f>
        <v>198.47222222222223</v>
      </c>
      <c r="O101" s="67">
        <f>SUM(O102:O106)</f>
        <v>44.590000000000074</v>
      </c>
      <c r="P101" s="67">
        <f>SUM(P102:P106)</f>
        <v>243.06222222222232</v>
      </c>
      <c r="Q101" s="187">
        <f>SUM(Q102:Q106)</f>
        <v>11.386111111111115</v>
      </c>
      <c r="R101" s="152">
        <f t="shared" si="58"/>
        <v>255.21533333333343</v>
      </c>
      <c r="S101" s="187">
        <f>SUM(S102:S106)</f>
        <v>11.259916666666667</v>
      </c>
      <c r="T101" s="65">
        <f>SUM(T102:T106)</f>
        <v>301</v>
      </c>
      <c r="U101" s="65">
        <f>SUM(U102:U106)</f>
        <v>57</v>
      </c>
      <c r="V101" s="65">
        <f>SUM(V102:V106)</f>
        <v>358</v>
      </c>
      <c r="W101" s="65">
        <f t="shared" si="51"/>
        <v>179</v>
      </c>
      <c r="X101" s="155">
        <f t="shared" si="52"/>
        <v>10.228571428571428</v>
      </c>
      <c r="Y101" s="155">
        <f t="shared" si="53"/>
        <v>12.785714285714286</v>
      </c>
      <c r="Z101" s="187">
        <f>SUM(Z102:Z106)</f>
        <v>-8.6138888888888854</v>
      </c>
      <c r="AA101" s="69">
        <f>SUM(AA102:AA106)</f>
        <v>-11.771428571428572</v>
      </c>
      <c r="AB101" s="69">
        <f t="shared" si="45"/>
        <v>-7.2142857142857135</v>
      </c>
      <c r="AC101" s="187">
        <f>SUM(AC102:AC106)</f>
        <v>21</v>
      </c>
      <c r="AD101" s="187">
        <f>SUM(AD102:AD106)</f>
        <v>1.403140625</v>
      </c>
      <c r="AE101" s="66">
        <f t="shared" ref="AE101:AN101" si="67">SUM(AE102:AE106)</f>
        <v>0</v>
      </c>
      <c r="AF101" s="66">
        <f t="shared" si="67"/>
        <v>1</v>
      </c>
      <c r="AG101" s="66">
        <f t="shared" si="67"/>
        <v>0</v>
      </c>
      <c r="AH101" s="66">
        <f t="shared" si="67"/>
        <v>0</v>
      </c>
      <c r="AI101" s="66">
        <f t="shared" si="67"/>
        <v>0</v>
      </c>
      <c r="AJ101" s="70">
        <f t="shared" si="67"/>
        <v>0</v>
      </c>
      <c r="AK101" s="70">
        <f t="shared" si="67"/>
        <v>0</v>
      </c>
      <c r="AL101" s="70">
        <f t="shared" si="67"/>
        <v>0</v>
      </c>
      <c r="AM101" s="70">
        <f t="shared" si="67"/>
        <v>0</v>
      </c>
      <c r="AN101" s="70">
        <f t="shared" si="67"/>
        <v>0</v>
      </c>
      <c r="AO101" s="71"/>
      <c r="AP101" s="72"/>
    </row>
    <row r="102" spans="1:42" s="10" customFormat="1" ht="21.75" customHeight="1" x14ac:dyDescent="0.2">
      <c r="A102" s="347" t="s">
        <v>106</v>
      </c>
      <c r="B102" s="262" t="s">
        <v>15</v>
      </c>
      <c r="C102" s="96" t="s">
        <v>38</v>
      </c>
      <c r="D102" s="96" t="s">
        <v>38</v>
      </c>
      <c r="E102" s="96" t="s">
        <v>38</v>
      </c>
      <c r="F102" s="96" t="s">
        <v>38</v>
      </c>
      <c r="G102" s="97" t="s">
        <v>38</v>
      </c>
      <c r="H102" s="97" t="s">
        <v>38</v>
      </c>
      <c r="I102" s="97" t="s">
        <v>38</v>
      </c>
      <c r="J102" s="97" t="s">
        <v>38</v>
      </c>
      <c r="K102" s="108">
        <f>SUM(C102:J102)</f>
        <v>0</v>
      </c>
      <c r="L102" s="188">
        <v>0</v>
      </c>
      <c r="M102" s="189">
        <f t="shared" ref="M102:M128" si="68">K102-L102</f>
        <v>0</v>
      </c>
      <c r="N102" s="98">
        <v>0</v>
      </c>
      <c r="O102" s="98">
        <f>7.66666666666667+6.25</f>
        <v>13.91666666666667</v>
      </c>
      <c r="P102" s="82">
        <f t="shared" ref="P102:P109" si="69">N102+O102</f>
        <v>13.91666666666667</v>
      </c>
      <c r="Q102" s="134">
        <f>+O102/20</f>
        <v>0.69583333333333353</v>
      </c>
      <c r="R102" s="84">
        <f t="shared" si="58"/>
        <v>14.612500000000002</v>
      </c>
      <c r="S102" s="135">
        <f>+Q102/20</f>
        <v>3.4791666666666679E-2</v>
      </c>
      <c r="T102" s="190">
        <v>0</v>
      </c>
      <c r="U102" s="86">
        <v>19</v>
      </c>
      <c r="V102" s="85">
        <f>SUM(U102:U102)</f>
        <v>19</v>
      </c>
      <c r="W102" s="78">
        <f t="shared" si="51"/>
        <v>9.5</v>
      </c>
      <c r="X102" s="87">
        <f t="shared" si="52"/>
        <v>0.54285714285714282</v>
      </c>
      <c r="Y102" s="88">
        <f t="shared" si="53"/>
        <v>0.6785714285714286</v>
      </c>
      <c r="Z102" s="100">
        <f>Q102-M102</f>
        <v>0.69583333333333353</v>
      </c>
      <c r="AA102" s="100">
        <f>X102-M102</f>
        <v>0.54285714285714282</v>
      </c>
      <c r="AB102" s="100">
        <f t="shared" ref="AB102:AB108" si="70">Y102-M102</f>
        <v>0.6785714285714286</v>
      </c>
      <c r="AC102" s="191">
        <v>3</v>
      </c>
      <c r="AD102" s="128" t="s">
        <v>38</v>
      </c>
      <c r="AE102" s="192" t="s">
        <v>38</v>
      </c>
      <c r="AF102" s="94" t="s">
        <v>38</v>
      </c>
      <c r="AG102" s="192" t="s">
        <v>38</v>
      </c>
      <c r="AH102" s="192" t="s">
        <v>38</v>
      </c>
      <c r="AI102" s="192" t="s">
        <v>38</v>
      </c>
      <c r="AJ102" s="193" t="s">
        <v>38</v>
      </c>
      <c r="AK102" s="193" t="s">
        <v>38</v>
      </c>
      <c r="AL102" s="193" t="s">
        <v>38</v>
      </c>
      <c r="AM102" s="193" t="s">
        <v>38</v>
      </c>
      <c r="AN102" s="193" t="s">
        <v>38</v>
      </c>
      <c r="AO102" s="94" t="s">
        <v>138</v>
      </c>
      <c r="AP102" s="63"/>
    </row>
    <row r="103" spans="1:42" s="7" customFormat="1" ht="21.75" customHeight="1" x14ac:dyDescent="0.2">
      <c r="A103" s="347"/>
      <c r="B103" s="263" t="s">
        <v>16</v>
      </c>
      <c r="C103" s="158" t="s">
        <v>38</v>
      </c>
      <c r="D103" s="158">
        <v>2</v>
      </c>
      <c r="E103" s="158">
        <v>1</v>
      </c>
      <c r="F103" s="158" t="s">
        <v>38</v>
      </c>
      <c r="G103" s="76" t="s">
        <v>38</v>
      </c>
      <c r="H103" s="76" t="s">
        <v>38</v>
      </c>
      <c r="I103" s="76" t="s">
        <v>38</v>
      </c>
      <c r="J103" s="76" t="s">
        <v>38</v>
      </c>
      <c r="K103" s="194">
        <f>SUM(C103:J103)</f>
        <v>3</v>
      </c>
      <c r="L103" s="144">
        <v>0</v>
      </c>
      <c r="M103" s="189">
        <f t="shared" si="68"/>
        <v>3</v>
      </c>
      <c r="N103" s="81">
        <v>0</v>
      </c>
      <c r="O103" s="81">
        <f>7.6666666666667*2</f>
        <v>15.3333333333334</v>
      </c>
      <c r="P103" s="82">
        <f t="shared" si="69"/>
        <v>15.3333333333334</v>
      </c>
      <c r="Q103" s="134">
        <f>+O103/20</f>
        <v>0.76666666666666994</v>
      </c>
      <c r="R103" s="84">
        <f t="shared" si="58"/>
        <v>16.100000000000069</v>
      </c>
      <c r="S103" s="135">
        <f>+Q103/20</f>
        <v>3.8333333333333497E-2</v>
      </c>
      <c r="T103" s="109">
        <v>0</v>
      </c>
      <c r="U103" s="195">
        <v>38</v>
      </c>
      <c r="V103" s="85">
        <f>SUM(U103:U103)</f>
        <v>38</v>
      </c>
      <c r="W103" s="78">
        <f t="shared" si="51"/>
        <v>19</v>
      </c>
      <c r="X103" s="87">
        <f t="shared" si="52"/>
        <v>1.0857142857142856</v>
      </c>
      <c r="Y103" s="88">
        <f t="shared" si="53"/>
        <v>1.3571428571428572</v>
      </c>
      <c r="Z103" s="89">
        <f>Q103-M103</f>
        <v>-2.2333333333333298</v>
      </c>
      <c r="AA103" s="89">
        <f>X103-M103</f>
        <v>-1.9142857142857144</v>
      </c>
      <c r="AB103" s="89">
        <f t="shared" si="70"/>
        <v>-1.6428571428571428</v>
      </c>
      <c r="AC103" s="191">
        <v>3</v>
      </c>
      <c r="AD103" s="196">
        <f>S103/8</f>
        <v>4.7916666666666871E-3</v>
      </c>
      <c r="AE103" s="197" t="s">
        <v>38</v>
      </c>
      <c r="AF103" s="197" t="s">
        <v>38</v>
      </c>
      <c r="AG103" s="197" t="s">
        <v>38</v>
      </c>
      <c r="AH103" s="197" t="s">
        <v>38</v>
      </c>
      <c r="AI103" s="197" t="s">
        <v>38</v>
      </c>
      <c r="AJ103" s="193" t="s">
        <v>38</v>
      </c>
      <c r="AK103" s="193" t="s">
        <v>38</v>
      </c>
      <c r="AL103" s="193" t="s">
        <v>38</v>
      </c>
      <c r="AM103" s="193" t="s">
        <v>38</v>
      </c>
      <c r="AN103" s="193" t="s">
        <v>38</v>
      </c>
      <c r="AO103" s="94"/>
      <c r="AP103" s="95"/>
    </row>
    <row r="104" spans="1:42" s="7" customFormat="1" ht="21.75" customHeight="1" x14ac:dyDescent="0.2">
      <c r="A104" s="347"/>
      <c r="B104" s="263" t="s">
        <v>17</v>
      </c>
      <c r="C104" s="158" t="s">
        <v>38</v>
      </c>
      <c r="D104" s="158" t="s">
        <v>38</v>
      </c>
      <c r="E104" s="158" t="s">
        <v>38</v>
      </c>
      <c r="F104" s="158" t="s">
        <v>38</v>
      </c>
      <c r="G104" s="76" t="s">
        <v>38</v>
      </c>
      <c r="H104" s="76" t="s">
        <v>38</v>
      </c>
      <c r="I104" s="76">
        <v>2</v>
      </c>
      <c r="J104" s="76">
        <v>8</v>
      </c>
      <c r="K104" s="194">
        <f>SUM(D104:J104)</f>
        <v>10</v>
      </c>
      <c r="L104" s="144">
        <v>1</v>
      </c>
      <c r="M104" s="189">
        <f t="shared" si="68"/>
        <v>9</v>
      </c>
      <c r="N104" s="81">
        <v>0</v>
      </c>
      <c r="O104" s="81">
        <f>7.67*2</f>
        <v>15.34</v>
      </c>
      <c r="P104" s="82">
        <f t="shared" si="69"/>
        <v>15.34</v>
      </c>
      <c r="Q104" s="134">
        <f>N104/20</f>
        <v>0</v>
      </c>
      <c r="R104" s="84">
        <f t="shared" si="58"/>
        <v>16.106999999999999</v>
      </c>
      <c r="S104" s="135">
        <f>P104/20</f>
        <v>0.76700000000000002</v>
      </c>
      <c r="T104" s="103">
        <v>154</v>
      </c>
      <c r="U104" s="136">
        <v>0</v>
      </c>
      <c r="V104" s="85">
        <f t="shared" ref="V104:V121" si="71">SUM(T104:U104)</f>
        <v>154</v>
      </c>
      <c r="W104" s="78">
        <f t="shared" si="51"/>
        <v>77</v>
      </c>
      <c r="X104" s="87">
        <f t="shared" si="52"/>
        <v>4.4000000000000004</v>
      </c>
      <c r="Y104" s="88">
        <f t="shared" si="53"/>
        <v>5.5</v>
      </c>
      <c r="Z104" s="89">
        <f>Q104-M104</f>
        <v>-9</v>
      </c>
      <c r="AA104" s="89">
        <f>X104-M104</f>
        <v>-4.5999999999999996</v>
      </c>
      <c r="AB104" s="89">
        <f t="shared" si="70"/>
        <v>-3.5</v>
      </c>
      <c r="AC104" s="191">
        <v>5</v>
      </c>
      <c r="AD104" s="196">
        <f>S104/8</f>
        <v>9.5875000000000002E-2</v>
      </c>
      <c r="AE104" s="197" t="s">
        <v>38</v>
      </c>
      <c r="AF104" s="198">
        <v>1</v>
      </c>
      <c r="AG104" s="197" t="s">
        <v>38</v>
      </c>
      <c r="AH104" s="197" t="s">
        <v>38</v>
      </c>
      <c r="AI104" s="197" t="s">
        <v>38</v>
      </c>
      <c r="AJ104" s="193" t="s">
        <v>38</v>
      </c>
      <c r="AK104" s="193" t="s">
        <v>38</v>
      </c>
      <c r="AL104" s="193" t="s">
        <v>38</v>
      </c>
      <c r="AM104" s="193" t="s">
        <v>38</v>
      </c>
      <c r="AN104" s="193" t="s">
        <v>38</v>
      </c>
      <c r="AO104" s="94"/>
      <c r="AP104" s="95"/>
    </row>
    <row r="105" spans="1:42" s="7" customFormat="1" ht="24" x14ac:dyDescent="0.2">
      <c r="A105" s="198" t="s">
        <v>107</v>
      </c>
      <c r="B105" s="263" t="s">
        <v>27</v>
      </c>
      <c r="C105" s="199" t="s">
        <v>38</v>
      </c>
      <c r="D105" s="199" t="s">
        <v>38</v>
      </c>
      <c r="E105" s="199" t="s">
        <v>38</v>
      </c>
      <c r="F105" s="199" t="s">
        <v>38</v>
      </c>
      <c r="G105" s="97" t="s">
        <v>38</v>
      </c>
      <c r="H105" s="97" t="s">
        <v>38</v>
      </c>
      <c r="I105" s="97">
        <v>1</v>
      </c>
      <c r="J105" s="97">
        <v>4</v>
      </c>
      <c r="K105" s="126">
        <f>SUM(D105:J105)</f>
        <v>5</v>
      </c>
      <c r="L105" s="79">
        <v>2</v>
      </c>
      <c r="M105" s="200">
        <f t="shared" si="68"/>
        <v>3</v>
      </c>
      <c r="N105" s="81">
        <v>177.52777777777777</v>
      </c>
      <c r="O105" s="81">
        <v>0</v>
      </c>
      <c r="P105" s="82">
        <f t="shared" si="69"/>
        <v>177.52777777777777</v>
      </c>
      <c r="Q105" s="83">
        <f>+P105/20</f>
        <v>8.8763888888888882</v>
      </c>
      <c r="R105" s="84">
        <f t="shared" si="58"/>
        <v>186.40416666666667</v>
      </c>
      <c r="S105" s="83">
        <f>+R105/20</f>
        <v>9.3202083333333334</v>
      </c>
      <c r="T105" s="125">
        <v>124</v>
      </c>
      <c r="U105" s="85">
        <v>0</v>
      </c>
      <c r="V105" s="85">
        <f t="shared" si="71"/>
        <v>124</v>
      </c>
      <c r="W105" s="78">
        <f t="shared" si="51"/>
        <v>62</v>
      </c>
      <c r="X105" s="87">
        <f t="shared" si="52"/>
        <v>3.5428571428571427</v>
      </c>
      <c r="Y105" s="88">
        <f t="shared" si="53"/>
        <v>4.4285714285714288</v>
      </c>
      <c r="Z105" s="89">
        <f>Q105-M105</f>
        <v>5.8763888888888882</v>
      </c>
      <c r="AA105" s="89">
        <f>X105-K105</f>
        <v>-1.4571428571428573</v>
      </c>
      <c r="AB105" s="89">
        <f t="shared" si="70"/>
        <v>1.4285714285714288</v>
      </c>
      <c r="AC105" s="90">
        <v>5</v>
      </c>
      <c r="AD105" s="196">
        <f>S105/8</f>
        <v>1.1650260416666667</v>
      </c>
      <c r="AE105" s="92" t="s">
        <v>38</v>
      </c>
      <c r="AF105" s="92" t="s">
        <v>38</v>
      </c>
      <c r="AG105" s="92" t="s">
        <v>38</v>
      </c>
      <c r="AH105" s="92" t="s">
        <v>38</v>
      </c>
      <c r="AI105" s="92" t="s">
        <v>38</v>
      </c>
      <c r="AJ105" s="93" t="s">
        <v>38</v>
      </c>
      <c r="AK105" s="93" t="s">
        <v>38</v>
      </c>
      <c r="AL105" s="93" t="s">
        <v>38</v>
      </c>
      <c r="AM105" s="93" t="s">
        <v>38</v>
      </c>
      <c r="AN105" s="93" t="s">
        <v>38</v>
      </c>
      <c r="AO105" s="94"/>
      <c r="AP105" s="95"/>
    </row>
    <row r="106" spans="1:42" s="7" customFormat="1" ht="21.95" customHeight="1" x14ac:dyDescent="0.2">
      <c r="A106" s="198" t="s">
        <v>108</v>
      </c>
      <c r="B106" s="263" t="s">
        <v>27</v>
      </c>
      <c r="C106" s="199" t="s">
        <v>38</v>
      </c>
      <c r="D106" s="199" t="s">
        <v>38</v>
      </c>
      <c r="E106" s="199" t="s">
        <v>38</v>
      </c>
      <c r="F106" s="199" t="s">
        <v>38</v>
      </c>
      <c r="G106" s="97" t="s">
        <v>38</v>
      </c>
      <c r="H106" s="97" t="s">
        <v>38</v>
      </c>
      <c r="I106" s="97">
        <v>1</v>
      </c>
      <c r="J106" s="97">
        <v>4</v>
      </c>
      <c r="K106" s="126">
        <f>SUM(D106:J106)</f>
        <v>5</v>
      </c>
      <c r="L106" s="79">
        <v>0</v>
      </c>
      <c r="M106" s="200">
        <f t="shared" si="68"/>
        <v>5</v>
      </c>
      <c r="N106" s="81">
        <v>20.944444444444443</v>
      </c>
      <c r="O106" s="81">
        <v>0</v>
      </c>
      <c r="P106" s="82">
        <f t="shared" si="69"/>
        <v>20.944444444444443</v>
      </c>
      <c r="Q106" s="83">
        <f>+P106/20</f>
        <v>1.0472222222222221</v>
      </c>
      <c r="R106" s="84">
        <f t="shared" si="58"/>
        <v>21.991666666666664</v>
      </c>
      <c r="S106" s="83">
        <f>+R106/20</f>
        <v>1.0995833333333331</v>
      </c>
      <c r="T106" s="125">
        <v>23</v>
      </c>
      <c r="U106" s="85">
        <v>0</v>
      </c>
      <c r="V106" s="85">
        <f t="shared" si="71"/>
        <v>23</v>
      </c>
      <c r="W106" s="78">
        <f t="shared" si="51"/>
        <v>11.5</v>
      </c>
      <c r="X106" s="87">
        <f t="shared" si="52"/>
        <v>0.65714285714285714</v>
      </c>
      <c r="Y106" s="88">
        <f t="shared" si="53"/>
        <v>0.8214285714285714</v>
      </c>
      <c r="Z106" s="89">
        <f>Q106-M106</f>
        <v>-3.9527777777777779</v>
      </c>
      <c r="AA106" s="89">
        <f>X106-K106</f>
        <v>-4.3428571428571425</v>
      </c>
      <c r="AB106" s="89">
        <f t="shared" si="70"/>
        <v>-4.1785714285714288</v>
      </c>
      <c r="AC106" s="90">
        <v>5</v>
      </c>
      <c r="AD106" s="196">
        <f>S106/8</f>
        <v>0.13744791666666664</v>
      </c>
      <c r="AE106" s="92" t="s">
        <v>38</v>
      </c>
      <c r="AF106" s="92" t="s">
        <v>38</v>
      </c>
      <c r="AG106" s="92" t="s">
        <v>38</v>
      </c>
      <c r="AH106" s="92" t="s">
        <v>38</v>
      </c>
      <c r="AI106" s="92" t="s">
        <v>38</v>
      </c>
      <c r="AJ106" s="93" t="s">
        <v>38</v>
      </c>
      <c r="AK106" s="93" t="s">
        <v>38</v>
      </c>
      <c r="AL106" s="93" t="s">
        <v>38</v>
      </c>
      <c r="AM106" s="93" t="s">
        <v>38</v>
      </c>
      <c r="AN106" s="93" t="s">
        <v>38</v>
      </c>
      <c r="AO106" s="94"/>
      <c r="AP106" s="95"/>
    </row>
    <row r="107" spans="1:42" s="18" customFormat="1" ht="21.75" customHeight="1" x14ac:dyDescent="0.2">
      <c r="A107" s="201" t="s">
        <v>109</v>
      </c>
      <c r="B107" s="273"/>
      <c r="C107" s="149">
        <f t="shared" ref="C107:AI107" si="72">SUM(C108:C108)</f>
        <v>0</v>
      </c>
      <c r="D107" s="149">
        <f t="shared" si="72"/>
        <v>0</v>
      </c>
      <c r="E107" s="149">
        <f t="shared" si="72"/>
        <v>0</v>
      </c>
      <c r="F107" s="149">
        <f t="shared" si="72"/>
        <v>0</v>
      </c>
      <c r="G107" s="149">
        <f t="shared" si="72"/>
        <v>0</v>
      </c>
      <c r="H107" s="149">
        <f t="shared" si="72"/>
        <v>0</v>
      </c>
      <c r="I107" s="149">
        <f t="shared" si="72"/>
        <v>0</v>
      </c>
      <c r="J107" s="149">
        <f t="shared" si="72"/>
        <v>6</v>
      </c>
      <c r="K107" s="149">
        <f t="shared" si="72"/>
        <v>6</v>
      </c>
      <c r="L107" s="149">
        <f t="shared" si="72"/>
        <v>0</v>
      </c>
      <c r="M107" s="149">
        <f t="shared" si="72"/>
        <v>6</v>
      </c>
      <c r="N107" s="149">
        <f t="shared" si="72"/>
        <v>0</v>
      </c>
      <c r="O107" s="149">
        <f t="shared" si="72"/>
        <v>0</v>
      </c>
      <c r="P107" s="149">
        <f t="shared" si="72"/>
        <v>0</v>
      </c>
      <c r="Q107" s="149">
        <f t="shared" si="72"/>
        <v>0</v>
      </c>
      <c r="R107" s="149">
        <f t="shared" si="72"/>
        <v>72</v>
      </c>
      <c r="S107" s="149">
        <f t="shared" si="72"/>
        <v>9</v>
      </c>
      <c r="T107" s="149">
        <f t="shared" si="72"/>
        <v>0</v>
      </c>
      <c r="U107" s="149">
        <f t="shared" si="72"/>
        <v>0</v>
      </c>
      <c r="V107" s="149">
        <f t="shared" si="72"/>
        <v>0</v>
      </c>
      <c r="W107" s="149">
        <f t="shared" si="72"/>
        <v>0</v>
      </c>
      <c r="X107" s="149">
        <f t="shared" si="72"/>
        <v>0</v>
      </c>
      <c r="Y107" s="149">
        <f t="shared" si="72"/>
        <v>0</v>
      </c>
      <c r="Z107" s="233">
        <f t="shared" si="72"/>
        <v>-6</v>
      </c>
      <c r="AA107" s="233">
        <f t="shared" si="72"/>
        <v>-6</v>
      </c>
      <c r="AB107" s="233">
        <f t="shared" si="72"/>
        <v>-6</v>
      </c>
      <c r="AC107" s="202">
        <f t="shared" si="72"/>
        <v>5</v>
      </c>
      <c r="AD107" s="202">
        <f t="shared" si="72"/>
        <v>9</v>
      </c>
      <c r="AE107" s="203">
        <f t="shared" si="72"/>
        <v>0</v>
      </c>
      <c r="AF107" s="203">
        <f t="shared" si="72"/>
        <v>0</v>
      </c>
      <c r="AG107" s="203">
        <f t="shared" si="72"/>
        <v>0</v>
      </c>
      <c r="AH107" s="203">
        <f t="shared" si="72"/>
        <v>0</v>
      </c>
      <c r="AI107" s="203">
        <f t="shared" si="72"/>
        <v>0</v>
      </c>
      <c r="AJ107" s="204">
        <v>0</v>
      </c>
      <c r="AK107" s="205">
        <f>SUM(AK108:AK108)</f>
        <v>4</v>
      </c>
      <c r="AL107" s="205">
        <f>SUM(AL108:AL108)</f>
        <v>9</v>
      </c>
      <c r="AM107" s="205">
        <f>SUM(AM108:AM108)</f>
        <v>9</v>
      </c>
      <c r="AN107" s="205">
        <f>SUM(AN108:AN108)</f>
        <v>9</v>
      </c>
      <c r="AO107" s="156"/>
      <c r="AP107" s="72"/>
    </row>
    <row r="108" spans="1:42" ht="21.75" customHeight="1" x14ac:dyDescent="0.2">
      <c r="A108" s="127" t="s">
        <v>215</v>
      </c>
      <c r="B108" s="272" t="s">
        <v>141</v>
      </c>
      <c r="C108" s="75" t="s">
        <v>38</v>
      </c>
      <c r="D108" s="75" t="s">
        <v>38</v>
      </c>
      <c r="E108" s="75" t="s">
        <v>38</v>
      </c>
      <c r="F108" s="75" t="s">
        <v>38</v>
      </c>
      <c r="G108" s="76" t="s">
        <v>38</v>
      </c>
      <c r="H108" s="76" t="s">
        <v>38</v>
      </c>
      <c r="I108" s="76" t="s">
        <v>38</v>
      </c>
      <c r="J108" s="77">
        <v>6</v>
      </c>
      <c r="K108" s="171">
        <v>6</v>
      </c>
      <c r="L108" s="79">
        <v>0</v>
      </c>
      <c r="M108" s="124">
        <f t="shared" si="68"/>
        <v>6</v>
      </c>
      <c r="N108" s="81">
        <v>0</v>
      </c>
      <c r="O108" s="81">
        <v>0</v>
      </c>
      <c r="P108" s="82">
        <f t="shared" si="69"/>
        <v>0</v>
      </c>
      <c r="Q108" s="83">
        <f>+P108/20</f>
        <v>0</v>
      </c>
      <c r="R108" s="84">
        <v>72</v>
      </c>
      <c r="S108" s="83">
        <f>+R108/8</f>
        <v>9</v>
      </c>
      <c r="T108" s="85"/>
      <c r="U108" s="85">
        <v>0</v>
      </c>
      <c r="V108" s="85">
        <f t="shared" si="71"/>
        <v>0</v>
      </c>
      <c r="W108" s="78">
        <f t="shared" si="51"/>
        <v>0</v>
      </c>
      <c r="X108" s="87">
        <f t="shared" si="52"/>
        <v>0</v>
      </c>
      <c r="Y108" s="88">
        <f t="shared" si="53"/>
        <v>0</v>
      </c>
      <c r="Z108" s="89">
        <f>Q108-M108</f>
        <v>-6</v>
      </c>
      <c r="AA108" s="89">
        <f>X108-M108</f>
        <v>-6</v>
      </c>
      <c r="AB108" s="89">
        <f t="shared" si="70"/>
        <v>-6</v>
      </c>
      <c r="AC108" s="145">
        <v>5</v>
      </c>
      <c r="AD108" s="196">
        <f>R108/8</f>
        <v>9</v>
      </c>
      <c r="AE108" s="206" t="s">
        <v>38</v>
      </c>
      <c r="AF108" s="206" t="s">
        <v>38</v>
      </c>
      <c r="AG108" s="206" t="s">
        <v>38</v>
      </c>
      <c r="AH108" s="206" t="s">
        <v>38</v>
      </c>
      <c r="AI108" s="206" t="s">
        <v>38</v>
      </c>
      <c r="AJ108" s="207">
        <v>0</v>
      </c>
      <c r="AK108" s="208">
        <v>4</v>
      </c>
      <c r="AL108" s="208">
        <v>9</v>
      </c>
      <c r="AM108" s="208">
        <v>9</v>
      </c>
      <c r="AN108" s="208">
        <v>9</v>
      </c>
      <c r="AO108" s="146" t="s">
        <v>163</v>
      </c>
      <c r="AP108" s="63"/>
    </row>
    <row r="109" spans="1:42" s="18" customFormat="1" ht="21.75" customHeight="1" x14ac:dyDescent="0.2">
      <c r="A109" s="209" t="s">
        <v>164</v>
      </c>
      <c r="B109" s="274"/>
      <c r="C109" s="149"/>
      <c r="D109" s="149">
        <f>SUM(D110:D121)</f>
        <v>0</v>
      </c>
      <c r="E109" s="149">
        <f t="shared" ref="E109:L109" si="73">SUM(E110:E121)</f>
        <v>0</v>
      </c>
      <c r="F109" s="149">
        <f t="shared" si="73"/>
        <v>0</v>
      </c>
      <c r="G109" s="149">
        <f t="shared" si="73"/>
        <v>0</v>
      </c>
      <c r="H109" s="149">
        <f t="shared" si="73"/>
        <v>0</v>
      </c>
      <c r="I109" s="149">
        <f t="shared" si="73"/>
        <v>0</v>
      </c>
      <c r="J109" s="149">
        <f t="shared" si="73"/>
        <v>52</v>
      </c>
      <c r="K109" s="149">
        <f t="shared" si="73"/>
        <v>52</v>
      </c>
      <c r="L109" s="149">
        <f t="shared" si="73"/>
        <v>0</v>
      </c>
      <c r="M109" s="65">
        <f t="shared" si="68"/>
        <v>52</v>
      </c>
      <c r="N109" s="150">
        <v>0</v>
      </c>
      <c r="O109" s="150">
        <v>0</v>
      </c>
      <c r="P109" s="150">
        <f t="shared" si="69"/>
        <v>0</v>
      </c>
      <c r="Q109" s="153">
        <v>0</v>
      </c>
      <c r="R109" s="153">
        <v>0</v>
      </c>
      <c r="S109" s="153">
        <f>+R109/8</f>
        <v>0</v>
      </c>
      <c r="T109" s="153">
        <v>0</v>
      </c>
      <c r="U109" s="153">
        <v>0</v>
      </c>
      <c r="V109" s="153">
        <f t="shared" si="71"/>
        <v>0</v>
      </c>
      <c r="W109" s="65">
        <v>0</v>
      </c>
      <c r="X109" s="155">
        <v>0</v>
      </c>
      <c r="Y109" s="155">
        <v>0</v>
      </c>
      <c r="Z109" s="70">
        <f>Q109-M109</f>
        <v>-52</v>
      </c>
      <c r="AA109" s="70">
        <f t="shared" ref="AA109:AA121" si="74">X109-M109</f>
        <v>-52</v>
      </c>
      <c r="AB109" s="65">
        <v>0</v>
      </c>
      <c r="AC109" s="122">
        <v>0</v>
      </c>
      <c r="AD109" s="65">
        <v>0</v>
      </c>
      <c r="AE109" s="155">
        <v>0</v>
      </c>
      <c r="AF109" s="155">
        <v>0</v>
      </c>
      <c r="AG109" s="155">
        <v>0</v>
      </c>
      <c r="AH109" s="155">
        <v>0</v>
      </c>
      <c r="AI109" s="155">
        <v>0</v>
      </c>
      <c r="AJ109" s="155">
        <v>0</v>
      </c>
      <c r="AK109" s="155">
        <v>0</v>
      </c>
      <c r="AL109" s="155">
        <v>0</v>
      </c>
      <c r="AM109" s="155">
        <v>0</v>
      </c>
      <c r="AN109" s="155">
        <v>0</v>
      </c>
      <c r="AO109" s="156"/>
      <c r="AP109" s="72"/>
    </row>
    <row r="110" spans="1:42" ht="21.75" customHeight="1" x14ac:dyDescent="0.2">
      <c r="A110" s="127" t="s">
        <v>169</v>
      </c>
      <c r="B110" s="272"/>
      <c r="C110" s="75" t="s">
        <v>38</v>
      </c>
      <c r="D110" s="75" t="s">
        <v>38</v>
      </c>
      <c r="E110" s="75" t="s">
        <v>38</v>
      </c>
      <c r="F110" s="75" t="s">
        <v>38</v>
      </c>
      <c r="G110" s="76" t="s">
        <v>38</v>
      </c>
      <c r="H110" s="76" t="s">
        <v>38</v>
      </c>
      <c r="I110" s="76" t="s">
        <v>38</v>
      </c>
      <c r="J110" s="77">
        <v>5</v>
      </c>
      <c r="K110" s="171">
        <f>SUM(C110:J110)</f>
        <v>5</v>
      </c>
      <c r="L110" s="79">
        <v>0</v>
      </c>
      <c r="M110" s="124">
        <f t="shared" si="68"/>
        <v>5</v>
      </c>
      <c r="N110" s="81" t="s">
        <v>38</v>
      </c>
      <c r="O110" s="81" t="s">
        <v>38</v>
      </c>
      <c r="P110" s="82" t="s">
        <v>38</v>
      </c>
      <c r="Q110" s="113" t="s">
        <v>38</v>
      </c>
      <c r="R110" s="114" t="s">
        <v>38</v>
      </c>
      <c r="S110" s="113" t="s">
        <v>38</v>
      </c>
      <c r="T110" s="85">
        <v>86</v>
      </c>
      <c r="U110" s="85">
        <v>0</v>
      </c>
      <c r="V110" s="85">
        <f t="shared" si="71"/>
        <v>86</v>
      </c>
      <c r="W110" s="78" t="s">
        <v>38</v>
      </c>
      <c r="X110" s="210">
        <f>V110/18</f>
        <v>4.7777777777777777</v>
      </c>
      <c r="Y110" s="88">
        <v>0</v>
      </c>
      <c r="Z110" s="126">
        <v>0</v>
      </c>
      <c r="AA110" s="89">
        <f t="shared" si="74"/>
        <v>-0.22222222222222232</v>
      </c>
      <c r="AB110" s="126">
        <v>0</v>
      </c>
      <c r="AC110" s="211">
        <v>0</v>
      </c>
      <c r="AD110" s="128" t="s">
        <v>38</v>
      </c>
      <c r="AE110" s="94" t="s">
        <v>38</v>
      </c>
      <c r="AF110" s="94" t="s">
        <v>38</v>
      </c>
      <c r="AG110" s="94" t="s">
        <v>38</v>
      </c>
      <c r="AH110" s="94" t="s">
        <v>38</v>
      </c>
      <c r="AI110" s="94" t="s">
        <v>38</v>
      </c>
      <c r="AJ110" s="147" t="s">
        <v>38</v>
      </c>
      <c r="AK110" s="147" t="s">
        <v>38</v>
      </c>
      <c r="AL110" s="147" t="s">
        <v>38</v>
      </c>
      <c r="AM110" s="147" t="s">
        <v>38</v>
      </c>
      <c r="AN110" s="147" t="s">
        <v>38</v>
      </c>
      <c r="AO110" s="146"/>
      <c r="AP110" s="63"/>
    </row>
    <row r="111" spans="1:42" ht="21.75" customHeight="1" x14ac:dyDescent="0.2">
      <c r="A111" s="127" t="s">
        <v>170</v>
      </c>
      <c r="B111" s="272"/>
      <c r="C111" s="75" t="s">
        <v>38</v>
      </c>
      <c r="D111" s="75" t="s">
        <v>38</v>
      </c>
      <c r="E111" s="75" t="s">
        <v>38</v>
      </c>
      <c r="F111" s="75" t="s">
        <v>38</v>
      </c>
      <c r="G111" s="76" t="s">
        <v>38</v>
      </c>
      <c r="H111" s="76" t="s">
        <v>38</v>
      </c>
      <c r="I111" s="76" t="s">
        <v>38</v>
      </c>
      <c r="J111" s="77">
        <v>5</v>
      </c>
      <c r="K111" s="171">
        <f t="shared" ref="K111:K121" si="75">SUM(C111:J111)</f>
        <v>5</v>
      </c>
      <c r="L111" s="79">
        <v>0</v>
      </c>
      <c r="M111" s="124">
        <f t="shared" si="68"/>
        <v>5</v>
      </c>
      <c r="N111" s="81" t="s">
        <v>38</v>
      </c>
      <c r="O111" s="81" t="s">
        <v>38</v>
      </c>
      <c r="P111" s="82" t="s">
        <v>38</v>
      </c>
      <c r="Q111" s="113" t="s">
        <v>38</v>
      </c>
      <c r="R111" s="114" t="s">
        <v>38</v>
      </c>
      <c r="S111" s="113" t="s">
        <v>38</v>
      </c>
      <c r="T111" s="85">
        <v>94</v>
      </c>
      <c r="U111" s="85">
        <v>0</v>
      </c>
      <c r="V111" s="85">
        <f t="shared" si="71"/>
        <v>94</v>
      </c>
      <c r="W111" s="78" t="s">
        <v>38</v>
      </c>
      <c r="X111" s="210">
        <f t="shared" ref="X111:X121" si="76">V111/18</f>
        <v>5.2222222222222223</v>
      </c>
      <c r="Y111" s="88">
        <v>0</v>
      </c>
      <c r="Z111" s="126">
        <v>0</v>
      </c>
      <c r="AA111" s="89">
        <f t="shared" si="74"/>
        <v>0.22222222222222232</v>
      </c>
      <c r="AB111" s="126">
        <v>0</v>
      </c>
      <c r="AC111" s="211">
        <v>0</v>
      </c>
      <c r="AD111" s="128" t="s">
        <v>38</v>
      </c>
      <c r="AE111" s="94" t="s">
        <v>38</v>
      </c>
      <c r="AF111" s="94" t="s">
        <v>38</v>
      </c>
      <c r="AG111" s="94" t="s">
        <v>38</v>
      </c>
      <c r="AH111" s="94" t="s">
        <v>38</v>
      </c>
      <c r="AI111" s="94" t="s">
        <v>38</v>
      </c>
      <c r="AJ111" s="147" t="s">
        <v>38</v>
      </c>
      <c r="AK111" s="147" t="s">
        <v>38</v>
      </c>
      <c r="AL111" s="147" t="s">
        <v>38</v>
      </c>
      <c r="AM111" s="147" t="s">
        <v>38</v>
      </c>
      <c r="AN111" s="147" t="s">
        <v>38</v>
      </c>
      <c r="AO111" s="146"/>
      <c r="AP111" s="63"/>
    </row>
    <row r="112" spans="1:42" ht="21.75" customHeight="1" x14ac:dyDescent="0.2">
      <c r="A112" s="127" t="s">
        <v>171</v>
      </c>
      <c r="B112" s="272"/>
      <c r="C112" s="75" t="s">
        <v>38</v>
      </c>
      <c r="D112" s="75" t="s">
        <v>38</v>
      </c>
      <c r="E112" s="75" t="s">
        <v>38</v>
      </c>
      <c r="F112" s="75" t="s">
        <v>38</v>
      </c>
      <c r="G112" s="76" t="s">
        <v>38</v>
      </c>
      <c r="H112" s="76" t="s">
        <v>38</v>
      </c>
      <c r="I112" s="76" t="s">
        <v>38</v>
      </c>
      <c r="J112" s="77">
        <v>3</v>
      </c>
      <c r="K112" s="171">
        <f t="shared" si="75"/>
        <v>3</v>
      </c>
      <c r="L112" s="79">
        <v>0</v>
      </c>
      <c r="M112" s="124">
        <f t="shared" si="68"/>
        <v>3</v>
      </c>
      <c r="N112" s="81" t="s">
        <v>38</v>
      </c>
      <c r="O112" s="81" t="s">
        <v>38</v>
      </c>
      <c r="P112" s="82" t="s">
        <v>38</v>
      </c>
      <c r="Q112" s="113" t="s">
        <v>38</v>
      </c>
      <c r="R112" s="114" t="s">
        <v>38</v>
      </c>
      <c r="S112" s="113" t="s">
        <v>38</v>
      </c>
      <c r="T112" s="85">
        <v>56</v>
      </c>
      <c r="U112" s="85">
        <v>0</v>
      </c>
      <c r="V112" s="85">
        <f t="shared" si="71"/>
        <v>56</v>
      </c>
      <c r="W112" s="78" t="s">
        <v>38</v>
      </c>
      <c r="X112" s="210">
        <f t="shared" si="76"/>
        <v>3.1111111111111112</v>
      </c>
      <c r="Y112" s="88">
        <v>0</v>
      </c>
      <c r="Z112" s="126">
        <v>0</v>
      </c>
      <c r="AA112" s="89">
        <f t="shared" si="74"/>
        <v>0.11111111111111116</v>
      </c>
      <c r="AB112" s="126">
        <v>0</v>
      </c>
      <c r="AC112" s="211">
        <v>0</v>
      </c>
      <c r="AD112" s="128" t="s">
        <v>38</v>
      </c>
      <c r="AE112" s="94" t="s">
        <v>38</v>
      </c>
      <c r="AF112" s="94" t="s">
        <v>38</v>
      </c>
      <c r="AG112" s="94" t="s">
        <v>38</v>
      </c>
      <c r="AH112" s="94" t="s">
        <v>38</v>
      </c>
      <c r="AI112" s="94" t="s">
        <v>38</v>
      </c>
      <c r="AJ112" s="147" t="s">
        <v>38</v>
      </c>
      <c r="AK112" s="147" t="s">
        <v>38</v>
      </c>
      <c r="AL112" s="147" t="s">
        <v>38</v>
      </c>
      <c r="AM112" s="147" t="s">
        <v>38</v>
      </c>
      <c r="AN112" s="147" t="s">
        <v>38</v>
      </c>
      <c r="AO112" s="146"/>
      <c r="AP112" s="63"/>
    </row>
    <row r="113" spans="1:42" ht="21.75" customHeight="1" x14ac:dyDescent="0.2">
      <c r="A113" s="127" t="s">
        <v>172</v>
      </c>
      <c r="B113" s="272"/>
      <c r="C113" s="75" t="s">
        <v>38</v>
      </c>
      <c r="D113" s="75" t="s">
        <v>38</v>
      </c>
      <c r="E113" s="75" t="s">
        <v>38</v>
      </c>
      <c r="F113" s="75" t="s">
        <v>38</v>
      </c>
      <c r="G113" s="76" t="s">
        <v>38</v>
      </c>
      <c r="H113" s="76" t="s">
        <v>38</v>
      </c>
      <c r="I113" s="76" t="s">
        <v>38</v>
      </c>
      <c r="J113" s="77">
        <v>3</v>
      </c>
      <c r="K113" s="171">
        <f t="shared" si="75"/>
        <v>3</v>
      </c>
      <c r="L113" s="79">
        <v>0</v>
      </c>
      <c r="M113" s="124">
        <f t="shared" si="68"/>
        <v>3</v>
      </c>
      <c r="N113" s="81" t="s">
        <v>38</v>
      </c>
      <c r="O113" s="81" t="s">
        <v>38</v>
      </c>
      <c r="P113" s="82" t="s">
        <v>38</v>
      </c>
      <c r="Q113" s="113" t="s">
        <v>38</v>
      </c>
      <c r="R113" s="114" t="s">
        <v>38</v>
      </c>
      <c r="S113" s="113" t="s">
        <v>38</v>
      </c>
      <c r="T113" s="85">
        <v>43</v>
      </c>
      <c r="U113" s="85">
        <v>0</v>
      </c>
      <c r="V113" s="85">
        <f t="shared" si="71"/>
        <v>43</v>
      </c>
      <c r="W113" s="78" t="s">
        <v>38</v>
      </c>
      <c r="X113" s="210">
        <f t="shared" si="76"/>
        <v>2.3888888888888888</v>
      </c>
      <c r="Y113" s="88">
        <v>0</v>
      </c>
      <c r="Z113" s="126">
        <v>0</v>
      </c>
      <c r="AA113" s="89">
        <f t="shared" si="74"/>
        <v>-0.61111111111111116</v>
      </c>
      <c r="AB113" s="126">
        <v>0</v>
      </c>
      <c r="AC113" s="211">
        <v>0</v>
      </c>
      <c r="AD113" s="128" t="s">
        <v>38</v>
      </c>
      <c r="AE113" s="94" t="s">
        <v>38</v>
      </c>
      <c r="AF113" s="94" t="s">
        <v>38</v>
      </c>
      <c r="AG113" s="94" t="s">
        <v>38</v>
      </c>
      <c r="AH113" s="94" t="s">
        <v>38</v>
      </c>
      <c r="AI113" s="94" t="s">
        <v>38</v>
      </c>
      <c r="AJ113" s="147" t="s">
        <v>38</v>
      </c>
      <c r="AK113" s="147" t="s">
        <v>38</v>
      </c>
      <c r="AL113" s="147" t="s">
        <v>38</v>
      </c>
      <c r="AM113" s="147" t="s">
        <v>38</v>
      </c>
      <c r="AN113" s="147" t="s">
        <v>38</v>
      </c>
      <c r="AO113" s="146"/>
      <c r="AP113" s="63"/>
    </row>
    <row r="114" spans="1:42" ht="21.75" customHeight="1" x14ac:dyDescent="0.2">
      <c r="A114" s="127" t="s">
        <v>173</v>
      </c>
      <c r="B114" s="272"/>
      <c r="C114" s="75" t="s">
        <v>38</v>
      </c>
      <c r="D114" s="75" t="s">
        <v>38</v>
      </c>
      <c r="E114" s="75" t="s">
        <v>38</v>
      </c>
      <c r="F114" s="75" t="s">
        <v>38</v>
      </c>
      <c r="G114" s="76" t="s">
        <v>38</v>
      </c>
      <c r="H114" s="76" t="s">
        <v>38</v>
      </c>
      <c r="I114" s="76" t="s">
        <v>38</v>
      </c>
      <c r="J114" s="77">
        <v>4</v>
      </c>
      <c r="K114" s="171">
        <f t="shared" si="75"/>
        <v>4</v>
      </c>
      <c r="L114" s="79">
        <v>0</v>
      </c>
      <c r="M114" s="124">
        <f t="shared" si="68"/>
        <v>4</v>
      </c>
      <c r="N114" s="81" t="s">
        <v>38</v>
      </c>
      <c r="O114" s="81" t="s">
        <v>38</v>
      </c>
      <c r="P114" s="82" t="s">
        <v>38</v>
      </c>
      <c r="Q114" s="113" t="s">
        <v>38</v>
      </c>
      <c r="R114" s="114" t="s">
        <v>38</v>
      </c>
      <c r="S114" s="113" t="s">
        <v>38</v>
      </c>
      <c r="T114" s="85">
        <v>70</v>
      </c>
      <c r="U114" s="85">
        <v>0</v>
      </c>
      <c r="V114" s="85">
        <f t="shared" si="71"/>
        <v>70</v>
      </c>
      <c r="W114" s="78" t="s">
        <v>38</v>
      </c>
      <c r="X114" s="210">
        <f t="shared" si="76"/>
        <v>3.8888888888888888</v>
      </c>
      <c r="Y114" s="88">
        <v>0</v>
      </c>
      <c r="Z114" s="126">
        <v>0</v>
      </c>
      <c r="AA114" s="89">
        <f t="shared" si="74"/>
        <v>-0.11111111111111116</v>
      </c>
      <c r="AB114" s="126">
        <v>0</v>
      </c>
      <c r="AC114" s="211">
        <v>0</v>
      </c>
      <c r="AD114" s="128" t="s">
        <v>38</v>
      </c>
      <c r="AE114" s="94" t="s">
        <v>38</v>
      </c>
      <c r="AF114" s="94" t="s">
        <v>38</v>
      </c>
      <c r="AG114" s="94" t="s">
        <v>38</v>
      </c>
      <c r="AH114" s="94" t="s">
        <v>38</v>
      </c>
      <c r="AI114" s="94" t="s">
        <v>38</v>
      </c>
      <c r="AJ114" s="147" t="s">
        <v>38</v>
      </c>
      <c r="AK114" s="147" t="s">
        <v>38</v>
      </c>
      <c r="AL114" s="147" t="s">
        <v>38</v>
      </c>
      <c r="AM114" s="147" t="s">
        <v>38</v>
      </c>
      <c r="AN114" s="147" t="s">
        <v>38</v>
      </c>
      <c r="AO114" s="146"/>
      <c r="AP114" s="63"/>
    </row>
    <row r="115" spans="1:42" ht="21.75" customHeight="1" x14ac:dyDescent="0.2">
      <c r="A115" s="127" t="s">
        <v>174</v>
      </c>
      <c r="B115" s="272"/>
      <c r="C115" s="75" t="s">
        <v>38</v>
      </c>
      <c r="D115" s="75" t="s">
        <v>38</v>
      </c>
      <c r="E115" s="75" t="s">
        <v>38</v>
      </c>
      <c r="F115" s="75" t="s">
        <v>38</v>
      </c>
      <c r="G115" s="76" t="s">
        <v>38</v>
      </c>
      <c r="H115" s="76" t="s">
        <v>38</v>
      </c>
      <c r="I115" s="76" t="s">
        <v>38</v>
      </c>
      <c r="J115" s="77">
        <v>4</v>
      </c>
      <c r="K115" s="171">
        <f t="shared" si="75"/>
        <v>4</v>
      </c>
      <c r="L115" s="79">
        <v>0</v>
      </c>
      <c r="M115" s="124">
        <f t="shared" si="68"/>
        <v>4</v>
      </c>
      <c r="N115" s="81" t="s">
        <v>38</v>
      </c>
      <c r="O115" s="81" t="s">
        <v>38</v>
      </c>
      <c r="P115" s="82" t="s">
        <v>38</v>
      </c>
      <c r="Q115" s="113" t="s">
        <v>38</v>
      </c>
      <c r="R115" s="114" t="s">
        <v>38</v>
      </c>
      <c r="S115" s="113" t="s">
        <v>38</v>
      </c>
      <c r="T115" s="85">
        <v>26</v>
      </c>
      <c r="U115" s="85">
        <v>0</v>
      </c>
      <c r="V115" s="85">
        <f t="shared" si="71"/>
        <v>26</v>
      </c>
      <c r="W115" s="78" t="s">
        <v>38</v>
      </c>
      <c r="X115" s="210">
        <f t="shared" si="76"/>
        <v>1.4444444444444444</v>
      </c>
      <c r="Y115" s="88">
        <v>0</v>
      </c>
      <c r="Z115" s="126">
        <v>0</v>
      </c>
      <c r="AA115" s="89">
        <f t="shared" si="74"/>
        <v>-2.5555555555555554</v>
      </c>
      <c r="AB115" s="126">
        <v>0</v>
      </c>
      <c r="AC115" s="211">
        <v>0</v>
      </c>
      <c r="AD115" s="128" t="s">
        <v>38</v>
      </c>
      <c r="AE115" s="94" t="s">
        <v>38</v>
      </c>
      <c r="AF115" s="94" t="s">
        <v>38</v>
      </c>
      <c r="AG115" s="94" t="s">
        <v>38</v>
      </c>
      <c r="AH115" s="94" t="s">
        <v>38</v>
      </c>
      <c r="AI115" s="94" t="s">
        <v>38</v>
      </c>
      <c r="AJ115" s="147" t="s">
        <v>38</v>
      </c>
      <c r="AK115" s="147" t="s">
        <v>38</v>
      </c>
      <c r="AL115" s="147" t="s">
        <v>38</v>
      </c>
      <c r="AM115" s="147" t="s">
        <v>38</v>
      </c>
      <c r="AN115" s="147" t="s">
        <v>38</v>
      </c>
      <c r="AO115" s="146"/>
      <c r="AP115" s="63"/>
    </row>
    <row r="116" spans="1:42" ht="21.75" customHeight="1" x14ac:dyDescent="0.2">
      <c r="A116" s="127" t="s">
        <v>175</v>
      </c>
      <c r="B116" s="272"/>
      <c r="C116" s="75" t="s">
        <v>38</v>
      </c>
      <c r="D116" s="75" t="s">
        <v>38</v>
      </c>
      <c r="E116" s="75" t="s">
        <v>38</v>
      </c>
      <c r="F116" s="75" t="s">
        <v>38</v>
      </c>
      <c r="G116" s="76" t="s">
        <v>38</v>
      </c>
      <c r="H116" s="76" t="s">
        <v>38</v>
      </c>
      <c r="I116" s="76" t="s">
        <v>38</v>
      </c>
      <c r="J116" s="77">
        <v>2</v>
      </c>
      <c r="K116" s="171">
        <f t="shared" si="75"/>
        <v>2</v>
      </c>
      <c r="L116" s="79">
        <v>0</v>
      </c>
      <c r="M116" s="124">
        <f t="shared" si="68"/>
        <v>2</v>
      </c>
      <c r="N116" s="81" t="s">
        <v>38</v>
      </c>
      <c r="O116" s="81" t="s">
        <v>38</v>
      </c>
      <c r="P116" s="82" t="s">
        <v>38</v>
      </c>
      <c r="Q116" s="113" t="s">
        <v>38</v>
      </c>
      <c r="R116" s="114" t="s">
        <v>38</v>
      </c>
      <c r="S116" s="113" t="s">
        <v>38</v>
      </c>
      <c r="T116" s="85">
        <v>16</v>
      </c>
      <c r="U116" s="85">
        <v>0</v>
      </c>
      <c r="V116" s="85">
        <f t="shared" si="71"/>
        <v>16</v>
      </c>
      <c r="W116" s="78" t="s">
        <v>38</v>
      </c>
      <c r="X116" s="210">
        <f t="shared" si="76"/>
        <v>0.88888888888888884</v>
      </c>
      <c r="Y116" s="88">
        <v>0</v>
      </c>
      <c r="Z116" s="126">
        <v>0</v>
      </c>
      <c r="AA116" s="89">
        <f t="shared" si="74"/>
        <v>-1.1111111111111112</v>
      </c>
      <c r="AB116" s="126">
        <v>0</v>
      </c>
      <c r="AC116" s="211">
        <v>0</v>
      </c>
      <c r="AD116" s="128" t="s">
        <v>38</v>
      </c>
      <c r="AE116" s="94" t="s">
        <v>38</v>
      </c>
      <c r="AF116" s="94" t="s">
        <v>38</v>
      </c>
      <c r="AG116" s="94" t="s">
        <v>38</v>
      </c>
      <c r="AH116" s="94" t="s">
        <v>38</v>
      </c>
      <c r="AI116" s="94" t="s">
        <v>38</v>
      </c>
      <c r="AJ116" s="147" t="s">
        <v>38</v>
      </c>
      <c r="AK116" s="147" t="s">
        <v>38</v>
      </c>
      <c r="AL116" s="147" t="s">
        <v>38</v>
      </c>
      <c r="AM116" s="147" t="s">
        <v>38</v>
      </c>
      <c r="AN116" s="147" t="s">
        <v>38</v>
      </c>
      <c r="AO116" s="146"/>
      <c r="AP116" s="63"/>
    </row>
    <row r="117" spans="1:42" ht="21.75" customHeight="1" x14ac:dyDescent="0.2">
      <c r="A117" s="212" t="s">
        <v>176</v>
      </c>
      <c r="B117" s="272"/>
      <c r="C117" s="75"/>
      <c r="D117" s="75" t="s">
        <v>38</v>
      </c>
      <c r="E117" s="75" t="s">
        <v>38</v>
      </c>
      <c r="F117" s="75" t="s">
        <v>38</v>
      </c>
      <c r="G117" s="76" t="s">
        <v>38</v>
      </c>
      <c r="H117" s="76" t="s">
        <v>38</v>
      </c>
      <c r="I117" s="76" t="s">
        <v>38</v>
      </c>
      <c r="J117" s="77">
        <v>2</v>
      </c>
      <c r="K117" s="171">
        <f t="shared" si="75"/>
        <v>2</v>
      </c>
      <c r="L117" s="79">
        <v>0</v>
      </c>
      <c r="M117" s="124">
        <f t="shared" si="68"/>
        <v>2</v>
      </c>
      <c r="N117" s="81" t="s">
        <v>38</v>
      </c>
      <c r="O117" s="81" t="s">
        <v>38</v>
      </c>
      <c r="P117" s="82" t="s">
        <v>38</v>
      </c>
      <c r="Q117" s="113" t="s">
        <v>38</v>
      </c>
      <c r="R117" s="114" t="s">
        <v>38</v>
      </c>
      <c r="S117" s="113" t="s">
        <v>38</v>
      </c>
      <c r="T117" s="85">
        <v>7</v>
      </c>
      <c r="U117" s="85">
        <v>0</v>
      </c>
      <c r="V117" s="85">
        <f t="shared" si="71"/>
        <v>7</v>
      </c>
      <c r="W117" s="78" t="s">
        <v>38</v>
      </c>
      <c r="X117" s="213">
        <f>V117/18</f>
        <v>0.3888888888888889</v>
      </c>
      <c r="Y117" s="88">
        <v>0</v>
      </c>
      <c r="Z117" s="126">
        <v>0</v>
      </c>
      <c r="AA117" s="89">
        <f t="shared" si="74"/>
        <v>-1.6111111111111112</v>
      </c>
      <c r="AB117" s="126">
        <v>0</v>
      </c>
      <c r="AC117" s="211">
        <v>0</v>
      </c>
      <c r="AD117" s="128" t="s">
        <v>38</v>
      </c>
      <c r="AE117" s="94" t="s">
        <v>38</v>
      </c>
      <c r="AF117" s="94" t="s">
        <v>38</v>
      </c>
      <c r="AG117" s="94" t="s">
        <v>38</v>
      </c>
      <c r="AH117" s="94" t="s">
        <v>38</v>
      </c>
      <c r="AI117" s="94" t="s">
        <v>38</v>
      </c>
      <c r="AJ117" s="147" t="s">
        <v>38</v>
      </c>
      <c r="AK117" s="147" t="s">
        <v>38</v>
      </c>
      <c r="AL117" s="147" t="s">
        <v>38</v>
      </c>
      <c r="AM117" s="147" t="s">
        <v>38</v>
      </c>
      <c r="AN117" s="147" t="s">
        <v>38</v>
      </c>
      <c r="AO117" s="146"/>
      <c r="AP117" s="63"/>
    </row>
    <row r="118" spans="1:42" ht="21.75" customHeight="1" x14ac:dyDescent="0.2">
      <c r="A118" s="127" t="s">
        <v>179</v>
      </c>
      <c r="B118" s="272"/>
      <c r="C118" s="75" t="s">
        <v>38</v>
      </c>
      <c r="D118" s="75" t="s">
        <v>38</v>
      </c>
      <c r="E118" s="75" t="s">
        <v>38</v>
      </c>
      <c r="F118" s="75" t="s">
        <v>38</v>
      </c>
      <c r="G118" s="76" t="s">
        <v>38</v>
      </c>
      <c r="H118" s="76" t="s">
        <v>38</v>
      </c>
      <c r="I118" s="76" t="s">
        <v>38</v>
      </c>
      <c r="J118" s="77">
        <v>2</v>
      </c>
      <c r="K118" s="171">
        <f t="shared" si="75"/>
        <v>2</v>
      </c>
      <c r="L118" s="79">
        <v>0</v>
      </c>
      <c r="M118" s="124">
        <f t="shared" si="68"/>
        <v>2</v>
      </c>
      <c r="N118" s="81" t="s">
        <v>38</v>
      </c>
      <c r="O118" s="81" t="s">
        <v>38</v>
      </c>
      <c r="P118" s="82" t="s">
        <v>38</v>
      </c>
      <c r="Q118" s="113" t="s">
        <v>38</v>
      </c>
      <c r="R118" s="114" t="s">
        <v>38</v>
      </c>
      <c r="S118" s="113" t="s">
        <v>38</v>
      </c>
      <c r="T118" s="85">
        <f>16+9</f>
        <v>25</v>
      </c>
      <c r="U118" s="85">
        <v>0</v>
      </c>
      <c r="V118" s="85">
        <f t="shared" si="71"/>
        <v>25</v>
      </c>
      <c r="W118" s="78" t="s">
        <v>38</v>
      </c>
      <c r="X118" s="210">
        <f t="shared" si="76"/>
        <v>1.3888888888888888</v>
      </c>
      <c r="Y118" s="88">
        <v>0</v>
      </c>
      <c r="Z118" s="126">
        <v>0</v>
      </c>
      <c r="AA118" s="89">
        <f t="shared" si="74"/>
        <v>-0.61111111111111116</v>
      </c>
      <c r="AB118" s="126">
        <v>0</v>
      </c>
      <c r="AC118" s="211">
        <v>0</v>
      </c>
      <c r="AD118" s="128" t="s">
        <v>38</v>
      </c>
      <c r="AE118" s="94" t="s">
        <v>38</v>
      </c>
      <c r="AF118" s="94" t="s">
        <v>38</v>
      </c>
      <c r="AG118" s="94" t="s">
        <v>38</v>
      </c>
      <c r="AH118" s="94" t="s">
        <v>38</v>
      </c>
      <c r="AI118" s="94" t="s">
        <v>38</v>
      </c>
      <c r="AJ118" s="147" t="s">
        <v>38</v>
      </c>
      <c r="AK118" s="147" t="s">
        <v>38</v>
      </c>
      <c r="AL118" s="147" t="s">
        <v>38</v>
      </c>
      <c r="AM118" s="147" t="s">
        <v>38</v>
      </c>
      <c r="AN118" s="147" t="s">
        <v>38</v>
      </c>
      <c r="AO118" s="146"/>
      <c r="AP118" s="63"/>
    </row>
    <row r="119" spans="1:42" ht="21.75" customHeight="1" x14ac:dyDescent="0.2">
      <c r="A119" s="127" t="s">
        <v>177</v>
      </c>
      <c r="B119" s="272"/>
      <c r="C119" s="75" t="s">
        <v>38</v>
      </c>
      <c r="D119" s="75" t="s">
        <v>38</v>
      </c>
      <c r="E119" s="75" t="s">
        <v>38</v>
      </c>
      <c r="F119" s="75" t="s">
        <v>38</v>
      </c>
      <c r="G119" s="76" t="s">
        <v>38</v>
      </c>
      <c r="H119" s="76" t="s">
        <v>38</v>
      </c>
      <c r="I119" s="76" t="s">
        <v>38</v>
      </c>
      <c r="J119" s="77">
        <v>4</v>
      </c>
      <c r="K119" s="171">
        <f t="shared" si="75"/>
        <v>4</v>
      </c>
      <c r="L119" s="79">
        <v>0</v>
      </c>
      <c r="M119" s="124">
        <f t="shared" si="68"/>
        <v>4</v>
      </c>
      <c r="N119" s="81" t="s">
        <v>38</v>
      </c>
      <c r="O119" s="81" t="s">
        <v>38</v>
      </c>
      <c r="P119" s="82" t="s">
        <v>38</v>
      </c>
      <c r="Q119" s="113" t="s">
        <v>38</v>
      </c>
      <c r="R119" s="114" t="s">
        <v>38</v>
      </c>
      <c r="S119" s="113" t="s">
        <v>38</v>
      </c>
      <c r="T119" s="85">
        <v>32</v>
      </c>
      <c r="U119" s="85">
        <v>0</v>
      </c>
      <c r="V119" s="85">
        <f t="shared" si="71"/>
        <v>32</v>
      </c>
      <c r="W119" s="78" t="s">
        <v>38</v>
      </c>
      <c r="X119" s="210">
        <f t="shared" si="76"/>
        <v>1.7777777777777777</v>
      </c>
      <c r="Y119" s="88">
        <v>0</v>
      </c>
      <c r="Z119" s="126">
        <v>0</v>
      </c>
      <c r="AA119" s="89">
        <f t="shared" si="74"/>
        <v>-2.2222222222222223</v>
      </c>
      <c r="AB119" s="126">
        <v>0</v>
      </c>
      <c r="AC119" s="211">
        <v>0</v>
      </c>
      <c r="AD119" s="128" t="s">
        <v>38</v>
      </c>
      <c r="AE119" s="94" t="s">
        <v>38</v>
      </c>
      <c r="AF119" s="94" t="s">
        <v>38</v>
      </c>
      <c r="AG119" s="94" t="s">
        <v>38</v>
      </c>
      <c r="AH119" s="94" t="s">
        <v>38</v>
      </c>
      <c r="AI119" s="94" t="s">
        <v>38</v>
      </c>
      <c r="AJ119" s="147" t="s">
        <v>38</v>
      </c>
      <c r="AK119" s="147" t="s">
        <v>38</v>
      </c>
      <c r="AL119" s="147" t="s">
        <v>38</v>
      </c>
      <c r="AM119" s="147" t="s">
        <v>38</v>
      </c>
      <c r="AN119" s="147" t="s">
        <v>38</v>
      </c>
      <c r="AO119" s="146"/>
      <c r="AP119" s="63"/>
    </row>
    <row r="120" spans="1:42" ht="21.75" customHeight="1" x14ac:dyDescent="0.2">
      <c r="A120" s="127" t="s">
        <v>178</v>
      </c>
      <c r="B120" s="272"/>
      <c r="C120" s="75" t="s">
        <v>38</v>
      </c>
      <c r="D120" s="75" t="s">
        <v>38</v>
      </c>
      <c r="E120" s="75" t="s">
        <v>38</v>
      </c>
      <c r="F120" s="75" t="s">
        <v>38</v>
      </c>
      <c r="G120" s="76" t="s">
        <v>38</v>
      </c>
      <c r="H120" s="76" t="s">
        <v>38</v>
      </c>
      <c r="I120" s="76" t="s">
        <v>38</v>
      </c>
      <c r="J120" s="77">
        <v>4</v>
      </c>
      <c r="K120" s="171">
        <f>SUM(C120:J120)</f>
        <v>4</v>
      </c>
      <c r="L120" s="79">
        <v>0</v>
      </c>
      <c r="M120" s="124">
        <f>K120-L120</f>
        <v>4</v>
      </c>
      <c r="N120" s="81" t="s">
        <v>38</v>
      </c>
      <c r="O120" s="81" t="s">
        <v>38</v>
      </c>
      <c r="P120" s="82" t="s">
        <v>38</v>
      </c>
      <c r="Q120" s="113" t="s">
        <v>38</v>
      </c>
      <c r="R120" s="114" t="s">
        <v>38</v>
      </c>
      <c r="S120" s="113" t="s">
        <v>38</v>
      </c>
      <c r="T120" s="85">
        <v>6</v>
      </c>
      <c r="U120" s="85">
        <v>0</v>
      </c>
      <c r="V120" s="85">
        <f>SUM(T120:U120)</f>
        <v>6</v>
      </c>
      <c r="W120" s="78" t="s">
        <v>38</v>
      </c>
      <c r="X120" s="213">
        <f t="shared" si="76"/>
        <v>0.33333333333333331</v>
      </c>
      <c r="Y120" s="88">
        <v>0</v>
      </c>
      <c r="Z120" s="126">
        <v>0</v>
      </c>
      <c r="AA120" s="89">
        <f>X120-M120</f>
        <v>-3.6666666666666665</v>
      </c>
      <c r="AB120" s="126">
        <v>0</v>
      </c>
      <c r="AC120" s="211">
        <v>0</v>
      </c>
      <c r="AD120" s="128" t="s">
        <v>38</v>
      </c>
      <c r="AE120" s="94" t="s">
        <v>38</v>
      </c>
      <c r="AF120" s="94" t="s">
        <v>38</v>
      </c>
      <c r="AG120" s="94" t="s">
        <v>38</v>
      </c>
      <c r="AH120" s="94" t="s">
        <v>38</v>
      </c>
      <c r="AI120" s="94" t="s">
        <v>38</v>
      </c>
      <c r="AJ120" s="147" t="s">
        <v>38</v>
      </c>
      <c r="AK120" s="147" t="s">
        <v>38</v>
      </c>
      <c r="AL120" s="147" t="s">
        <v>38</v>
      </c>
      <c r="AM120" s="147" t="s">
        <v>38</v>
      </c>
      <c r="AN120" s="147" t="s">
        <v>38</v>
      </c>
      <c r="AO120" s="146"/>
      <c r="AP120" s="63"/>
    </row>
    <row r="121" spans="1:42" ht="21.75" customHeight="1" x14ac:dyDescent="0.2">
      <c r="A121" s="127" t="s">
        <v>180</v>
      </c>
      <c r="B121" s="272"/>
      <c r="C121" s="75" t="s">
        <v>38</v>
      </c>
      <c r="D121" s="75" t="s">
        <v>38</v>
      </c>
      <c r="E121" s="75" t="s">
        <v>38</v>
      </c>
      <c r="F121" s="75" t="s">
        <v>38</v>
      </c>
      <c r="G121" s="76" t="s">
        <v>38</v>
      </c>
      <c r="H121" s="76" t="s">
        <v>38</v>
      </c>
      <c r="I121" s="76" t="s">
        <v>38</v>
      </c>
      <c r="J121" s="77">
        <v>14</v>
      </c>
      <c r="K121" s="171">
        <f t="shared" si="75"/>
        <v>14</v>
      </c>
      <c r="L121" s="79">
        <v>0</v>
      </c>
      <c r="M121" s="124">
        <f t="shared" si="68"/>
        <v>14</v>
      </c>
      <c r="N121" s="81" t="s">
        <v>38</v>
      </c>
      <c r="O121" s="81" t="s">
        <v>38</v>
      </c>
      <c r="P121" s="82" t="s">
        <v>38</v>
      </c>
      <c r="Q121" s="113" t="s">
        <v>38</v>
      </c>
      <c r="R121" s="114" t="s">
        <v>38</v>
      </c>
      <c r="S121" s="113" t="s">
        <v>38</v>
      </c>
      <c r="T121" s="85">
        <v>6</v>
      </c>
      <c r="U121" s="85">
        <v>0</v>
      </c>
      <c r="V121" s="85">
        <f t="shared" si="71"/>
        <v>6</v>
      </c>
      <c r="W121" s="78" t="s">
        <v>38</v>
      </c>
      <c r="X121" s="213">
        <f t="shared" si="76"/>
        <v>0.33333333333333331</v>
      </c>
      <c r="Y121" s="88">
        <v>0</v>
      </c>
      <c r="Z121" s="126">
        <v>0</v>
      </c>
      <c r="AA121" s="89">
        <f t="shared" si="74"/>
        <v>-13.666666666666666</v>
      </c>
      <c r="AB121" s="126">
        <v>0</v>
      </c>
      <c r="AC121" s="211">
        <v>0</v>
      </c>
      <c r="AD121" s="128" t="s">
        <v>38</v>
      </c>
      <c r="AE121" s="94" t="s">
        <v>38</v>
      </c>
      <c r="AF121" s="94" t="s">
        <v>38</v>
      </c>
      <c r="AG121" s="94" t="s">
        <v>38</v>
      </c>
      <c r="AH121" s="94" t="s">
        <v>38</v>
      </c>
      <c r="AI121" s="94" t="s">
        <v>38</v>
      </c>
      <c r="AJ121" s="147" t="s">
        <v>38</v>
      </c>
      <c r="AK121" s="147" t="s">
        <v>38</v>
      </c>
      <c r="AL121" s="147" t="s">
        <v>38</v>
      </c>
      <c r="AM121" s="147" t="s">
        <v>38</v>
      </c>
      <c r="AN121" s="147" t="s">
        <v>38</v>
      </c>
      <c r="AO121" s="146"/>
      <c r="AP121" s="63"/>
    </row>
    <row r="122" spans="1:42" s="58" customFormat="1" ht="21.75" customHeight="1" x14ac:dyDescent="0.2">
      <c r="A122" s="214" t="s">
        <v>202</v>
      </c>
      <c r="B122" s="275"/>
      <c r="C122" s="215">
        <f>SUM(C123:C128)</f>
        <v>0</v>
      </c>
      <c r="D122" s="215">
        <f t="shared" ref="D122:AN122" si="77">SUM(D123:D128)</f>
        <v>0</v>
      </c>
      <c r="E122" s="215">
        <f t="shared" si="77"/>
        <v>0</v>
      </c>
      <c r="F122" s="215">
        <f t="shared" si="77"/>
        <v>0</v>
      </c>
      <c r="G122" s="215">
        <f t="shared" si="77"/>
        <v>0</v>
      </c>
      <c r="H122" s="215">
        <f t="shared" si="77"/>
        <v>0</v>
      </c>
      <c r="I122" s="215">
        <f t="shared" si="77"/>
        <v>0</v>
      </c>
      <c r="J122" s="215">
        <f t="shared" si="77"/>
        <v>0</v>
      </c>
      <c r="K122" s="215">
        <f t="shared" si="77"/>
        <v>0</v>
      </c>
      <c r="L122" s="215">
        <f t="shared" si="77"/>
        <v>0</v>
      </c>
      <c r="M122" s="215">
        <f t="shared" si="77"/>
        <v>0</v>
      </c>
      <c r="N122" s="215">
        <f t="shared" si="77"/>
        <v>0</v>
      </c>
      <c r="O122" s="215">
        <f t="shared" si="77"/>
        <v>0</v>
      </c>
      <c r="P122" s="215">
        <f t="shared" si="77"/>
        <v>0</v>
      </c>
      <c r="Q122" s="215">
        <f t="shared" si="77"/>
        <v>0</v>
      </c>
      <c r="R122" s="215">
        <f t="shared" si="77"/>
        <v>540</v>
      </c>
      <c r="S122" s="215">
        <f t="shared" si="77"/>
        <v>18</v>
      </c>
      <c r="T122" s="215">
        <f t="shared" si="77"/>
        <v>0</v>
      </c>
      <c r="U122" s="215">
        <f t="shared" si="77"/>
        <v>0</v>
      </c>
      <c r="V122" s="215">
        <f t="shared" si="77"/>
        <v>0</v>
      </c>
      <c r="W122" s="215">
        <f t="shared" si="77"/>
        <v>0</v>
      </c>
      <c r="X122" s="215">
        <f t="shared" si="77"/>
        <v>0</v>
      </c>
      <c r="Y122" s="215">
        <f t="shared" si="77"/>
        <v>0</v>
      </c>
      <c r="Z122" s="215">
        <f t="shared" si="77"/>
        <v>0</v>
      </c>
      <c r="AA122" s="215">
        <f t="shared" si="77"/>
        <v>0</v>
      </c>
      <c r="AB122" s="215">
        <f t="shared" si="77"/>
        <v>0</v>
      </c>
      <c r="AC122" s="215">
        <f t="shared" si="77"/>
        <v>0</v>
      </c>
      <c r="AD122" s="215">
        <f t="shared" si="77"/>
        <v>0</v>
      </c>
      <c r="AE122" s="215">
        <f t="shared" si="77"/>
        <v>0</v>
      </c>
      <c r="AF122" s="215">
        <f t="shared" si="77"/>
        <v>0</v>
      </c>
      <c r="AG122" s="215">
        <f t="shared" si="77"/>
        <v>0</v>
      </c>
      <c r="AH122" s="215">
        <f t="shared" si="77"/>
        <v>0</v>
      </c>
      <c r="AI122" s="215">
        <f t="shared" si="77"/>
        <v>0</v>
      </c>
      <c r="AJ122" s="215">
        <f t="shared" si="77"/>
        <v>0</v>
      </c>
      <c r="AK122" s="215">
        <f t="shared" si="77"/>
        <v>18</v>
      </c>
      <c r="AL122" s="215">
        <f t="shared" si="77"/>
        <v>17</v>
      </c>
      <c r="AM122" s="215">
        <f t="shared" si="77"/>
        <v>7</v>
      </c>
      <c r="AN122" s="215">
        <f t="shared" si="77"/>
        <v>0</v>
      </c>
      <c r="AO122" s="216"/>
      <c r="AP122" s="217"/>
    </row>
    <row r="123" spans="1:42" ht="21.75" customHeight="1" x14ac:dyDescent="0.55000000000000004">
      <c r="A123" s="129" t="s">
        <v>10</v>
      </c>
      <c r="B123" s="272"/>
      <c r="C123" s="75">
        <v>0</v>
      </c>
      <c r="D123" s="75">
        <v>0</v>
      </c>
      <c r="E123" s="75">
        <v>0</v>
      </c>
      <c r="F123" s="75">
        <v>0</v>
      </c>
      <c r="G123" s="76">
        <v>0</v>
      </c>
      <c r="H123" s="76">
        <v>0</v>
      </c>
      <c r="I123" s="76">
        <v>0</v>
      </c>
      <c r="J123" s="77">
        <v>0</v>
      </c>
      <c r="K123" s="171">
        <v>0</v>
      </c>
      <c r="L123" s="164">
        <v>0</v>
      </c>
      <c r="M123" s="218">
        <f t="shared" si="68"/>
        <v>0</v>
      </c>
      <c r="N123" s="81" t="s">
        <v>38</v>
      </c>
      <c r="O123" s="81" t="s">
        <v>38</v>
      </c>
      <c r="P123" s="82" t="s">
        <v>38</v>
      </c>
      <c r="Q123" s="113" t="s">
        <v>38</v>
      </c>
      <c r="R123" s="114">
        <v>90</v>
      </c>
      <c r="S123" s="113">
        <f t="shared" ref="S123:S128" si="78">R123/30</f>
        <v>3</v>
      </c>
      <c r="T123" s="85">
        <v>0</v>
      </c>
      <c r="U123" s="85">
        <v>0</v>
      </c>
      <c r="V123" s="85">
        <v>0</v>
      </c>
      <c r="W123" s="78">
        <v>0</v>
      </c>
      <c r="X123" s="210">
        <v>0</v>
      </c>
      <c r="Y123" s="88">
        <v>0</v>
      </c>
      <c r="Z123" s="126">
        <v>0</v>
      </c>
      <c r="AA123" s="126">
        <v>0</v>
      </c>
      <c r="AB123" s="126">
        <v>0</v>
      </c>
      <c r="AC123" s="211">
        <v>0</v>
      </c>
      <c r="AD123" s="219">
        <v>0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234">
        <v>0</v>
      </c>
      <c r="AK123" s="234">
        <v>2</v>
      </c>
      <c r="AL123" s="234">
        <v>2</v>
      </c>
      <c r="AM123" s="234">
        <v>2</v>
      </c>
      <c r="AN123" s="234">
        <v>0</v>
      </c>
      <c r="AO123" s="146" t="s">
        <v>206</v>
      </c>
      <c r="AP123" s="63"/>
    </row>
    <row r="124" spans="1:42" ht="21.75" customHeight="1" x14ac:dyDescent="0.55000000000000004">
      <c r="A124" s="129" t="s">
        <v>11</v>
      </c>
      <c r="B124" s="272"/>
      <c r="C124" s="75">
        <v>0</v>
      </c>
      <c r="D124" s="75">
        <v>0</v>
      </c>
      <c r="E124" s="75">
        <v>0</v>
      </c>
      <c r="F124" s="75">
        <v>0</v>
      </c>
      <c r="G124" s="76">
        <v>0</v>
      </c>
      <c r="H124" s="76">
        <v>0</v>
      </c>
      <c r="I124" s="76">
        <v>0</v>
      </c>
      <c r="J124" s="77">
        <v>0</v>
      </c>
      <c r="K124" s="171">
        <v>0</v>
      </c>
      <c r="L124" s="164">
        <v>0</v>
      </c>
      <c r="M124" s="218">
        <f t="shared" si="68"/>
        <v>0</v>
      </c>
      <c r="N124" s="81" t="s">
        <v>38</v>
      </c>
      <c r="O124" s="81" t="s">
        <v>38</v>
      </c>
      <c r="P124" s="82" t="s">
        <v>38</v>
      </c>
      <c r="Q124" s="113" t="s">
        <v>38</v>
      </c>
      <c r="R124" s="114">
        <v>90</v>
      </c>
      <c r="S124" s="113">
        <f t="shared" si="78"/>
        <v>3</v>
      </c>
      <c r="T124" s="85">
        <v>0</v>
      </c>
      <c r="U124" s="85">
        <v>0</v>
      </c>
      <c r="V124" s="85">
        <v>0</v>
      </c>
      <c r="W124" s="78">
        <v>0</v>
      </c>
      <c r="X124" s="210">
        <v>0</v>
      </c>
      <c r="Y124" s="88">
        <v>0</v>
      </c>
      <c r="Z124" s="126">
        <v>0</v>
      </c>
      <c r="AA124" s="126">
        <v>0</v>
      </c>
      <c r="AB124" s="126">
        <v>0</v>
      </c>
      <c r="AC124" s="211">
        <v>0</v>
      </c>
      <c r="AD124" s="219">
        <v>0</v>
      </c>
      <c r="AE124" s="220">
        <v>0</v>
      </c>
      <c r="AF124" s="220">
        <v>0</v>
      </c>
      <c r="AG124" s="220">
        <v>0</v>
      </c>
      <c r="AH124" s="220">
        <v>0</v>
      </c>
      <c r="AI124" s="220">
        <v>0</v>
      </c>
      <c r="AJ124" s="234">
        <v>0</v>
      </c>
      <c r="AK124" s="234">
        <v>2</v>
      </c>
      <c r="AL124" s="234">
        <v>2</v>
      </c>
      <c r="AM124" s="234">
        <v>1</v>
      </c>
      <c r="AN124" s="234">
        <v>0</v>
      </c>
      <c r="AO124" s="146" t="s">
        <v>206</v>
      </c>
      <c r="AP124" s="63"/>
    </row>
    <row r="125" spans="1:42" ht="21.75" customHeight="1" x14ac:dyDescent="0.55000000000000004">
      <c r="A125" s="129" t="s">
        <v>201</v>
      </c>
      <c r="B125" s="272"/>
      <c r="C125" s="75">
        <v>0</v>
      </c>
      <c r="D125" s="75">
        <v>0</v>
      </c>
      <c r="E125" s="75">
        <v>0</v>
      </c>
      <c r="F125" s="75">
        <v>0</v>
      </c>
      <c r="G125" s="76">
        <v>0</v>
      </c>
      <c r="H125" s="76">
        <v>0</v>
      </c>
      <c r="I125" s="76">
        <v>0</v>
      </c>
      <c r="J125" s="77">
        <v>0</v>
      </c>
      <c r="K125" s="171">
        <v>0</v>
      </c>
      <c r="L125" s="164">
        <v>0</v>
      </c>
      <c r="M125" s="218">
        <f t="shared" si="68"/>
        <v>0</v>
      </c>
      <c r="N125" s="81" t="s">
        <v>38</v>
      </c>
      <c r="O125" s="81" t="s">
        <v>38</v>
      </c>
      <c r="P125" s="82" t="s">
        <v>38</v>
      </c>
      <c r="Q125" s="113" t="s">
        <v>38</v>
      </c>
      <c r="R125" s="114">
        <v>90</v>
      </c>
      <c r="S125" s="113">
        <f t="shared" si="78"/>
        <v>3</v>
      </c>
      <c r="T125" s="85">
        <v>0</v>
      </c>
      <c r="U125" s="85">
        <v>0</v>
      </c>
      <c r="V125" s="85">
        <v>0</v>
      </c>
      <c r="W125" s="78">
        <v>0</v>
      </c>
      <c r="X125" s="210">
        <v>0</v>
      </c>
      <c r="Y125" s="88">
        <v>0</v>
      </c>
      <c r="Z125" s="126">
        <v>0</v>
      </c>
      <c r="AA125" s="126">
        <v>0</v>
      </c>
      <c r="AB125" s="126">
        <v>0</v>
      </c>
      <c r="AC125" s="211">
        <v>0</v>
      </c>
      <c r="AD125" s="219">
        <v>0</v>
      </c>
      <c r="AE125" s="220">
        <v>0</v>
      </c>
      <c r="AF125" s="220">
        <v>0</v>
      </c>
      <c r="AG125" s="220">
        <v>0</v>
      </c>
      <c r="AH125" s="220">
        <v>0</v>
      </c>
      <c r="AI125" s="220">
        <v>0</v>
      </c>
      <c r="AJ125" s="234">
        <v>0</v>
      </c>
      <c r="AK125" s="234">
        <v>2</v>
      </c>
      <c r="AL125" s="234">
        <v>2</v>
      </c>
      <c r="AM125" s="234">
        <v>1</v>
      </c>
      <c r="AN125" s="234">
        <v>0</v>
      </c>
      <c r="AO125" s="146" t="s">
        <v>206</v>
      </c>
      <c r="AP125" s="63"/>
    </row>
    <row r="126" spans="1:42" ht="21.75" customHeight="1" x14ac:dyDescent="0.55000000000000004">
      <c r="A126" s="129" t="s">
        <v>203</v>
      </c>
      <c r="B126" s="272"/>
      <c r="C126" s="75">
        <v>0</v>
      </c>
      <c r="D126" s="75">
        <v>0</v>
      </c>
      <c r="E126" s="75">
        <v>0</v>
      </c>
      <c r="F126" s="75">
        <v>0</v>
      </c>
      <c r="G126" s="76">
        <v>0</v>
      </c>
      <c r="H126" s="76">
        <v>0</v>
      </c>
      <c r="I126" s="76">
        <v>0</v>
      </c>
      <c r="J126" s="77">
        <v>0</v>
      </c>
      <c r="K126" s="171">
        <v>0</v>
      </c>
      <c r="L126" s="164">
        <v>0</v>
      </c>
      <c r="M126" s="218">
        <f t="shared" si="68"/>
        <v>0</v>
      </c>
      <c r="N126" s="81" t="s">
        <v>38</v>
      </c>
      <c r="O126" s="81" t="s">
        <v>38</v>
      </c>
      <c r="P126" s="82" t="s">
        <v>38</v>
      </c>
      <c r="Q126" s="113" t="s">
        <v>38</v>
      </c>
      <c r="R126" s="114">
        <v>90</v>
      </c>
      <c r="S126" s="113">
        <f t="shared" si="78"/>
        <v>3</v>
      </c>
      <c r="T126" s="85">
        <v>0</v>
      </c>
      <c r="U126" s="85">
        <v>0</v>
      </c>
      <c r="V126" s="85">
        <v>0</v>
      </c>
      <c r="W126" s="78">
        <v>0</v>
      </c>
      <c r="X126" s="210">
        <v>0</v>
      </c>
      <c r="Y126" s="88">
        <v>0</v>
      </c>
      <c r="Z126" s="126">
        <v>0</v>
      </c>
      <c r="AA126" s="126">
        <v>0</v>
      </c>
      <c r="AB126" s="126">
        <v>0</v>
      </c>
      <c r="AC126" s="211">
        <v>0</v>
      </c>
      <c r="AD126" s="219">
        <v>0</v>
      </c>
      <c r="AE126" s="220">
        <v>0</v>
      </c>
      <c r="AF126" s="220">
        <v>0</v>
      </c>
      <c r="AG126" s="220">
        <v>0</v>
      </c>
      <c r="AH126" s="220">
        <v>0</v>
      </c>
      <c r="AI126" s="220">
        <v>0</v>
      </c>
      <c r="AJ126" s="234">
        <v>0</v>
      </c>
      <c r="AK126" s="234">
        <v>3</v>
      </c>
      <c r="AL126" s="234">
        <v>3</v>
      </c>
      <c r="AM126" s="234">
        <v>1</v>
      </c>
      <c r="AN126" s="234">
        <v>0</v>
      </c>
      <c r="AO126" s="146" t="s">
        <v>206</v>
      </c>
      <c r="AP126" s="63"/>
    </row>
    <row r="127" spans="1:42" ht="21.75" customHeight="1" x14ac:dyDescent="0.55000000000000004">
      <c r="A127" s="129" t="s">
        <v>204</v>
      </c>
      <c r="B127" s="272"/>
      <c r="C127" s="75">
        <v>0</v>
      </c>
      <c r="D127" s="75">
        <v>0</v>
      </c>
      <c r="E127" s="75">
        <v>0</v>
      </c>
      <c r="F127" s="75">
        <v>0</v>
      </c>
      <c r="G127" s="76">
        <v>0</v>
      </c>
      <c r="H127" s="76">
        <v>0</v>
      </c>
      <c r="I127" s="76">
        <v>0</v>
      </c>
      <c r="J127" s="77">
        <v>0</v>
      </c>
      <c r="K127" s="171">
        <v>0</v>
      </c>
      <c r="L127" s="164">
        <v>0</v>
      </c>
      <c r="M127" s="218">
        <f t="shared" si="68"/>
        <v>0</v>
      </c>
      <c r="N127" s="81" t="s">
        <v>38</v>
      </c>
      <c r="O127" s="81" t="s">
        <v>38</v>
      </c>
      <c r="P127" s="82" t="s">
        <v>38</v>
      </c>
      <c r="Q127" s="113" t="s">
        <v>38</v>
      </c>
      <c r="R127" s="114">
        <v>90</v>
      </c>
      <c r="S127" s="113">
        <f t="shared" si="78"/>
        <v>3</v>
      </c>
      <c r="T127" s="85">
        <v>0</v>
      </c>
      <c r="U127" s="85">
        <v>0</v>
      </c>
      <c r="V127" s="85">
        <v>0</v>
      </c>
      <c r="W127" s="78">
        <v>0</v>
      </c>
      <c r="X127" s="210">
        <v>0</v>
      </c>
      <c r="Y127" s="88">
        <v>0</v>
      </c>
      <c r="Z127" s="126">
        <v>0</v>
      </c>
      <c r="AA127" s="126">
        <v>0</v>
      </c>
      <c r="AB127" s="126">
        <v>0</v>
      </c>
      <c r="AC127" s="211">
        <v>0</v>
      </c>
      <c r="AD127" s="219">
        <v>0</v>
      </c>
      <c r="AE127" s="220">
        <v>0</v>
      </c>
      <c r="AF127" s="220">
        <v>0</v>
      </c>
      <c r="AG127" s="220">
        <v>0</v>
      </c>
      <c r="AH127" s="220">
        <v>0</v>
      </c>
      <c r="AI127" s="220">
        <v>0</v>
      </c>
      <c r="AJ127" s="234">
        <v>0</v>
      </c>
      <c r="AK127" s="234">
        <v>2</v>
      </c>
      <c r="AL127" s="234">
        <v>2</v>
      </c>
      <c r="AM127" s="234">
        <v>1</v>
      </c>
      <c r="AN127" s="234">
        <v>0</v>
      </c>
      <c r="AO127" s="146" t="s">
        <v>206</v>
      </c>
      <c r="AP127" s="63"/>
    </row>
    <row r="128" spans="1:42" ht="21.75" customHeight="1" x14ac:dyDescent="0.55000000000000004">
      <c r="A128" s="129" t="s">
        <v>205</v>
      </c>
      <c r="B128" s="272"/>
      <c r="C128" s="75">
        <v>0</v>
      </c>
      <c r="D128" s="75">
        <v>0</v>
      </c>
      <c r="E128" s="75">
        <v>0</v>
      </c>
      <c r="F128" s="75">
        <v>0</v>
      </c>
      <c r="G128" s="76">
        <v>0</v>
      </c>
      <c r="H128" s="76">
        <v>0</v>
      </c>
      <c r="I128" s="76">
        <v>0</v>
      </c>
      <c r="J128" s="77">
        <v>0</v>
      </c>
      <c r="K128" s="171">
        <v>0</v>
      </c>
      <c r="L128" s="164">
        <v>0</v>
      </c>
      <c r="M128" s="218">
        <f t="shared" si="68"/>
        <v>0</v>
      </c>
      <c r="N128" s="81" t="s">
        <v>38</v>
      </c>
      <c r="O128" s="81" t="s">
        <v>38</v>
      </c>
      <c r="P128" s="82" t="s">
        <v>38</v>
      </c>
      <c r="Q128" s="113" t="s">
        <v>38</v>
      </c>
      <c r="R128" s="114">
        <v>90</v>
      </c>
      <c r="S128" s="113">
        <f t="shared" si="78"/>
        <v>3</v>
      </c>
      <c r="T128" s="85">
        <v>0</v>
      </c>
      <c r="U128" s="85">
        <v>0</v>
      </c>
      <c r="V128" s="85">
        <v>0</v>
      </c>
      <c r="W128" s="78">
        <v>0</v>
      </c>
      <c r="X128" s="210">
        <v>0</v>
      </c>
      <c r="Y128" s="88">
        <v>0</v>
      </c>
      <c r="Z128" s="126">
        <v>0</v>
      </c>
      <c r="AA128" s="126">
        <v>0</v>
      </c>
      <c r="AB128" s="126">
        <v>0</v>
      </c>
      <c r="AC128" s="211">
        <v>0</v>
      </c>
      <c r="AD128" s="219">
        <v>0</v>
      </c>
      <c r="AE128" s="220">
        <v>0</v>
      </c>
      <c r="AF128" s="220">
        <v>0</v>
      </c>
      <c r="AG128" s="220">
        <v>0</v>
      </c>
      <c r="AH128" s="220">
        <v>0</v>
      </c>
      <c r="AI128" s="220">
        <v>0</v>
      </c>
      <c r="AJ128" s="234">
        <v>0</v>
      </c>
      <c r="AK128" s="234">
        <v>7</v>
      </c>
      <c r="AL128" s="234">
        <v>6</v>
      </c>
      <c r="AM128" s="234">
        <v>1</v>
      </c>
      <c r="AN128" s="234">
        <v>0</v>
      </c>
      <c r="AO128" s="146" t="s">
        <v>206</v>
      </c>
      <c r="AP128" s="63"/>
    </row>
    <row r="129" spans="1:42" s="20" customFormat="1" ht="21.75" customHeight="1" x14ac:dyDescent="0.2">
      <c r="A129" s="221" t="s">
        <v>0</v>
      </c>
      <c r="B129" s="276"/>
      <c r="C129" s="139">
        <f t="shared" ref="C129:AN129" si="79">C101+C20+C46+C74+C91+C107+C6+C109+C122</f>
        <v>0</v>
      </c>
      <c r="D129" s="139">
        <f t="shared" si="79"/>
        <v>17</v>
      </c>
      <c r="E129" s="139">
        <f t="shared" si="79"/>
        <v>75</v>
      </c>
      <c r="F129" s="139">
        <f t="shared" si="79"/>
        <v>43</v>
      </c>
      <c r="G129" s="139">
        <f t="shared" si="79"/>
        <v>0</v>
      </c>
      <c r="H129" s="139">
        <f t="shared" si="79"/>
        <v>3</v>
      </c>
      <c r="I129" s="139">
        <f t="shared" si="79"/>
        <v>144</v>
      </c>
      <c r="J129" s="139">
        <f t="shared" si="79"/>
        <v>323</v>
      </c>
      <c r="K129" s="139">
        <f t="shared" si="79"/>
        <v>605</v>
      </c>
      <c r="L129" s="139">
        <f t="shared" si="79"/>
        <v>20</v>
      </c>
      <c r="M129" s="139">
        <f t="shared" si="79"/>
        <v>585</v>
      </c>
      <c r="N129" s="222">
        <f t="shared" si="79"/>
        <v>9527.0194444444442</v>
      </c>
      <c r="O129" s="222">
        <f t="shared" si="79"/>
        <v>571.53211111111113</v>
      </c>
      <c r="P129" s="222">
        <f t="shared" si="79"/>
        <v>10098.551555555556</v>
      </c>
      <c r="Q129" s="139">
        <f t="shared" si="79"/>
        <v>412.62292148148157</v>
      </c>
      <c r="R129" s="222">
        <f t="shared" si="79"/>
        <v>11215.479133333334</v>
      </c>
      <c r="S129" s="139">
        <f t="shared" si="79"/>
        <v>462.02361755555552</v>
      </c>
      <c r="T129" s="222">
        <f t="shared" si="79"/>
        <v>14129</v>
      </c>
      <c r="U129" s="222">
        <f t="shared" si="79"/>
        <v>459</v>
      </c>
      <c r="V129" s="222">
        <f t="shared" si="79"/>
        <v>14588</v>
      </c>
      <c r="W129" s="222">
        <f t="shared" si="79"/>
        <v>7294</v>
      </c>
      <c r="X129" s="139">
        <f t="shared" si="79"/>
        <v>436.68809523809523</v>
      </c>
      <c r="Y129" s="139">
        <f t="shared" si="79"/>
        <v>521</v>
      </c>
      <c r="Z129" s="223">
        <f t="shared" si="79"/>
        <v>-170.25457851851854</v>
      </c>
      <c r="AA129" s="223">
        <f t="shared" si="79"/>
        <v>-138.25476190476189</v>
      </c>
      <c r="AB129" s="223">
        <f t="shared" si="79"/>
        <v>-10.142857142857137</v>
      </c>
      <c r="AC129" s="139">
        <f t="shared" si="79"/>
        <v>373</v>
      </c>
      <c r="AD129" s="139">
        <f t="shared" si="79"/>
        <v>67.455085069444436</v>
      </c>
      <c r="AE129" s="139">
        <f t="shared" si="79"/>
        <v>9</v>
      </c>
      <c r="AF129" s="139">
        <f t="shared" si="79"/>
        <v>7</v>
      </c>
      <c r="AG129" s="139">
        <f t="shared" si="79"/>
        <v>11</v>
      </c>
      <c r="AH129" s="139">
        <f t="shared" si="79"/>
        <v>8</v>
      </c>
      <c r="AI129" s="139">
        <f t="shared" si="79"/>
        <v>7</v>
      </c>
      <c r="AJ129" s="139">
        <f t="shared" si="79"/>
        <v>0</v>
      </c>
      <c r="AK129" s="139">
        <f t="shared" si="79"/>
        <v>24</v>
      </c>
      <c r="AL129" s="139">
        <f t="shared" si="79"/>
        <v>26</v>
      </c>
      <c r="AM129" s="139">
        <f t="shared" si="79"/>
        <v>16</v>
      </c>
      <c r="AN129" s="139">
        <f t="shared" si="79"/>
        <v>9</v>
      </c>
      <c r="AO129" s="221"/>
      <c r="AP129" s="224"/>
    </row>
    <row r="130" spans="1:42" ht="21.75" customHeight="1" x14ac:dyDescent="0.2">
      <c r="A130" s="225" t="s">
        <v>186</v>
      </c>
      <c r="B130" s="277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7"/>
      <c r="O130" s="228"/>
      <c r="P130" s="227"/>
      <c r="Q130" s="228"/>
      <c r="R130" s="228"/>
      <c r="S130" s="228"/>
      <c r="T130" s="226"/>
      <c r="U130" s="226"/>
      <c r="V130" s="226"/>
      <c r="W130" s="226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9"/>
      <c r="AP130" s="63"/>
    </row>
    <row r="131" spans="1:42" x14ac:dyDescent="0.2">
      <c r="A131" s="6"/>
      <c r="B131" s="278"/>
      <c r="P131" s="3"/>
      <c r="X131" s="2"/>
      <c r="AB131" s="34"/>
      <c r="AC131" s="34"/>
      <c r="AD131" s="34"/>
      <c r="AE131" s="4"/>
      <c r="AF131" s="4"/>
      <c r="AG131" s="4"/>
      <c r="AH131" s="5"/>
      <c r="AI131" s="5"/>
      <c r="AJ131" s="4"/>
      <c r="AK131" s="4"/>
      <c r="AL131" s="4"/>
      <c r="AM131" s="4"/>
      <c r="AN131" s="5"/>
      <c r="AO131" s="5"/>
    </row>
    <row r="132" spans="1:42" x14ac:dyDescent="0.2">
      <c r="X132" s="2"/>
      <c r="AB132" s="34"/>
      <c r="AC132" s="34"/>
      <c r="AD132" s="34"/>
      <c r="AJ132" s="2"/>
      <c r="AK132" s="2"/>
      <c r="AL132" s="2"/>
      <c r="AM132" s="2"/>
      <c r="AN132" s="2"/>
    </row>
  </sheetData>
  <mergeCells count="57">
    <mergeCell ref="A89:A90"/>
    <mergeCell ref="A1:AO1"/>
    <mergeCell ref="A2:AO2"/>
    <mergeCell ref="A3:A5"/>
    <mergeCell ref="B3:B5"/>
    <mergeCell ref="C3:K3"/>
    <mergeCell ref="L3:L5"/>
    <mergeCell ref="M3:M5"/>
    <mergeCell ref="N3:P3"/>
    <mergeCell ref="Q3:Q5"/>
    <mergeCell ref="S3:S5"/>
    <mergeCell ref="Y3:Y5"/>
    <mergeCell ref="Z3:AB3"/>
    <mergeCell ref="AC3:AC5"/>
    <mergeCell ref="T4:T5"/>
    <mergeCell ref="U4:U5"/>
    <mergeCell ref="V4:V5"/>
    <mergeCell ref="AO3:AO5"/>
    <mergeCell ref="C4:F4"/>
    <mergeCell ref="G4:J4"/>
    <mergeCell ref="K4:K5"/>
    <mergeCell ref="N4:N5"/>
    <mergeCell ref="O4:O5"/>
    <mergeCell ref="P4:P5"/>
    <mergeCell ref="T3:V3"/>
    <mergeCell ref="W3:W5"/>
    <mergeCell ref="X3:X5"/>
    <mergeCell ref="AL4:AL5"/>
    <mergeCell ref="AM4:AM5"/>
    <mergeCell ref="AN4:AN5"/>
    <mergeCell ref="A7:A8"/>
    <mergeCell ref="A11:A12"/>
    <mergeCell ref="AE4:AE5"/>
    <mergeCell ref="AF4:AF5"/>
    <mergeCell ref="AG4:AG5"/>
    <mergeCell ref="AH4:AH5"/>
    <mergeCell ref="AI4:AI5"/>
    <mergeCell ref="A15:A16"/>
    <mergeCell ref="A30:A33"/>
    <mergeCell ref="A35:A38"/>
    <mergeCell ref="A39:A41"/>
    <mergeCell ref="A48:A50"/>
    <mergeCell ref="AK4:AK5"/>
    <mergeCell ref="AJ4:AJ5"/>
    <mergeCell ref="AD3:AD5"/>
    <mergeCell ref="AE3:AI3"/>
    <mergeCell ref="AJ3:AN3"/>
    <mergeCell ref="A87:A88"/>
    <mergeCell ref="A102:A104"/>
    <mergeCell ref="R3:R5"/>
    <mergeCell ref="A51:A52"/>
    <mergeCell ref="A53:A54"/>
    <mergeCell ref="A55:A58"/>
    <mergeCell ref="A60:A65"/>
    <mergeCell ref="A66:A68"/>
    <mergeCell ref="A78:A82"/>
    <mergeCell ref="A13:A14"/>
  </mergeCells>
  <phoneticPr fontId="12" type="noConversion"/>
  <printOptions horizontalCentered="1"/>
  <pageMargins left="0.25" right="0.25" top="0.75" bottom="0.75" header="0.3" footer="0.3"/>
  <pageSetup paperSize="9" scale="3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67-71 ให้คณะ</vt:lpstr>
      <vt:lpstr>ตัวอย่างแผนปี 64-68</vt:lpstr>
      <vt:lpstr>ไฟล์ต้น (แก้ไข) (ลบลูกจ้าง22)</vt:lpstr>
      <vt:lpstr>ลูกจ้างชั่วคราว</vt:lpstr>
      <vt:lpstr>ไฟล์ต้น (คณะแก้ไข) </vt:lpstr>
      <vt:lpstr>ไฟล์ต้น Final เล่ม</vt:lpstr>
      <vt:lpstr>สาธิต 1</vt:lpstr>
      <vt:lpstr>ไฟล์ต้น (2)</vt:lpstr>
      <vt:lpstr>'67-71 ให้คณะ'!Print_Area</vt:lpstr>
      <vt:lpstr>'ตัวอย่างแผนปี 64-68'!Print_Area</vt:lpstr>
      <vt:lpstr>'ไฟล์ต้น (2)'!Print_Area</vt:lpstr>
      <vt:lpstr>'ไฟล์ต้น (แก้ไข) (ลบลูกจ้าง22)'!Print_Area</vt:lpstr>
      <vt:lpstr>'ไฟล์ต้น (คณะแก้ไข) '!Print_Area</vt:lpstr>
      <vt:lpstr>'ไฟล์ต้น Final เล่ม'!Print_Area</vt:lpstr>
      <vt:lpstr>'สาธิต 1'!Print_Area</vt:lpstr>
      <vt:lpstr>'67-71 ให้คณะ'!Print_Titles</vt:lpstr>
      <vt:lpstr>'ตัวอย่างแผนปี 64-68'!Print_Titles</vt:lpstr>
      <vt:lpstr>'ไฟล์ต้น (2)'!Print_Titles</vt:lpstr>
      <vt:lpstr>'ไฟล์ต้น (แก้ไข) (ลบลูกจ้าง22)'!Print_Titles</vt:lpstr>
      <vt:lpstr>'ไฟล์ต้น (คณะแก้ไข) '!Print_Titles</vt:lpstr>
      <vt:lpstr>'ไฟล์ต้น Final เล่ม'!Print_Titles</vt:lpstr>
      <vt:lpstr>'สาธิต 1'!Print_Titles</vt:lpstr>
    </vt:vector>
  </TitlesOfParts>
  <Company>iLLUSiON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laksamee.ka</cp:lastModifiedBy>
  <cp:lastPrinted>2023-09-03T07:55:43Z</cp:lastPrinted>
  <dcterms:created xsi:type="dcterms:W3CDTF">2010-05-07T13:42:34Z</dcterms:created>
  <dcterms:modified xsi:type="dcterms:W3CDTF">2023-09-05T04:40:17Z</dcterms:modified>
</cp:coreProperties>
</file>